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FD947BC6-68DA-4E1F-9F33-7FB918CEB8F7}" xr6:coauthVersionLast="47" xr6:coauthVersionMax="47" xr10:uidLastSave="{00000000-0000-0000-0000-000000000000}"/>
  <bookViews>
    <workbookView xWindow="-108" yWindow="-108" windowWidth="23256" windowHeight="12456" tabRatio="706" firstSheet="5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Summary List" sheetId="12" r:id="rId15"/>
    <sheet name="Bar Chart" sheetId="22" r:id="rId16"/>
    <sheet name="Notes" sheetId="14" r:id="rId17"/>
  </sheets>
  <definedNames>
    <definedName name="_xlnm._FilterDatabase" localSheetId="14" hidden="1">'Summary List'!$B$1:$L$1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7" l="1"/>
  <c r="F35" i="7"/>
  <c r="F36" i="7"/>
  <c r="F37" i="7"/>
  <c r="F39" i="7"/>
  <c r="F33" i="7"/>
  <c r="F34" i="9"/>
  <c r="F40" i="9" s="1"/>
  <c r="F41" i="9" s="1"/>
  <c r="L4" i="12" s="1"/>
  <c r="F35" i="9"/>
  <c r="F36" i="9"/>
  <c r="F37" i="9"/>
  <c r="F38" i="9"/>
  <c r="F39" i="9"/>
  <c r="F33" i="9"/>
  <c r="F33" i="6"/>
  <c r="F34" i="4"/>
  <c r="F35" i="4"/>
  <c r="F36" i="4"/>
  <c r="F37" i="4"/>
  <c r="F38" i="4"/>
  <c r="F39" i="4"/>
  <c r="F33" i="4"/>
  <c r="L7" i="12"/>
  <c r="K7" i="12"/>
  <c r="L15" i="12"/>
  <c r="L14" i="12"/>
  <c r="L13" i="12"/>
  <c r="L12" i="12"/>
  <c r="L11" i="12"/>
  <c r="L10" i="12"/>
  <c r="L9" i="12"/>
  <c r="L8" i="12"/>
  <c r="L6" i="12"/>
  <c r="K15" i="12"/>
  <c r="K14" i="12"/>
  <c r="K13" i="12"/>
  <c r="K12" i="12"/>
  <c r="K11" i="12"/>
  <c r="K10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M41" i="4"/>
  <c r="H40" i="4"/>
  <c r="J39" i="4"/>
  <c r="J38" i="4"/>
  <c r="J37" i="4"/>
  <c r="J36" i="4"/>
  <c r="J35" i="4"/>
  <c r="J34" i="4"/>
  <c r="J33" i="4"/>
  <c r="M41" i="6"/>
  <c r="H40" i="6"/>
  <c r="J39" i="6"/>
  <c r="J38" i="6"/>
  <c r="J37" i="6"/>
  <c r="J36" i="6"/>
  <c r="J35" i="6"/>
  <c r="J34" i="6"/>
  <c r="J33" i="6"/>
  <c r="M41" i="9"/>
  <c r="H40" i="9"/>
  <c r="J39" i="9"/>
  <c r="J38" i="9"/>
  <c r="J37" i="9"/>
  <c r="J36" i="9"/>
  <c r="J35" i="9"/>
  <c r="J34" i="9"/>
  <c r="J33" i="9"/>
  <c r="H2" i="12" a="1"/>
  <c r="H2" i="12" s="1"/>
  <c r="F1" i="22"/>
  <c r="H16" i="21"/>
  <c r="H2" i="21"/>
  <c r="H15" i="12" s="1" a="1"/>
  <c r="H15" i="12" s="1"/>
  <c r="E15" i="12"/>
  <c r="F15" i="1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F40" i="21" s="1"/>
  <c r="J33" i="21"/>
  <c r="J40" i="21" s="1"/>
  <c r="M41" i="21" s="1"/>
  <c r="F33" i="21"/>
  <c r="F31" i="2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2" i="21"/>
  <c r="K1" i="21" s="1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I13" i="20"/>
  <c r="I12" i="20"/>
  <c r="I11" i="20"/>
  <c r="I10" i="20"/>
  <c r="I9" i="20"/>
  <c r="I8" i="20"/>
  <c r="I7" i="20"/>
  <c r="I6" i="20"/>
  <c r="I5" i="20"/>
  <c r="M2" i="20"/>
  <c r="E14" i="12" s="1"/>
  <c r="H14" i="12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11" i="12" a="1"/>
  <c r="H10" i="12" a="1"/>
  <c r="H9" i="12" a="1"/>
  <c r="H8" i="12" a="1"/>
  <c r="H7" i="12" a="1"/>
  <c r="H6" i="12" a="1"/>
  <c r="H5" i="12" a="1"/>
  <c r="H4" i="12" a="1"/>
  <c r="H3" i="12" a="1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5" i="11"/>
  <c r="M40" i="11"/>
  <c r="G47" i="13"/>
  <c r="K45" i="13" s="1"/>
  <c r="F36" i="11"/>
  <c r="I24" i="11"/>
  <c r="I25" i="11"/>
  <c r="I26" i="11"/>
  <c r="F40" i="6" l="1"/>
  <c r="J40" i="6"/>
  <c r="M42" i="6" s="1"/>
  <c r="D15" i="12"/>
  <c r="D9" i="12"/>
  <c r="K4" i="12"/>
  <c r="J40" i="9"/>
  <c r="M42" i="9" s="1"/>
  <c r="F40" i="4"/>
  <c r="J40" i="4"/>
  <c r="M42" i="4" s="1"/>
  <c r="C35" i="12"/>
  <c r="F41" i="21"/>
  <c r="D43" i="21"/>
  <c r="F43" i="21" s="1"/>
  <c r="H43" i="21" s="1"/>
  <c r="H45" i="21" s="1"/>
  <c r="D14" i="12"/>
  <c r="F40" i="18"/>
  <c r="F41" i="18" s="1"/>
  <c r="J40" i="18"/>
  <c r="J40" i="20"/>
  <c r="M41" i="20" s="1"/>
  <c r="F40" i="20"/>
  <c r="D43" i="20" s="1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J40" i="15"/>
  <c r="M41" i="15" s="1"/>
  <c r="K1" i="15"/>
  <c r="F40" i="15"/>
  <c r="G49" i="13"/>
  <c r="G48" i="13"/>
  <c r="F41" i="6" l="1"/>
  <c r="L3" i="12" s="1"/>
  <c r="K3" i="12"/>
  <c r="F41" i="4"/>
  <c r="K2" i="12"/>
  <c r="F41" i="15"/>
  <c r="K9" i="12"/>
  <c r="F41" i="20"/>
  <c r="F43" i="20"/>
  <c r="H43" i="20" s="1"/>
  <c r="H45" i="20" s="1"/>
  <c r="D32" i="12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3" i="11"/>
  <c r="H43" i="11" s="1"/>
  <c r="E6" i="12"/>
  <c r="M41" i="10"/>
  <c r="H40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F34" i="10"/>
  <c r="F35" i="10"/>
  <c r="F36" i="10"/>
  <c r="F37" i="10"/>
  <c r="F38" i="10"/>
  <c r="F39" i="10"/>
  <c r="F33" i="10"/>
  <c r="M41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J38" i="7"/>
  <c r="J39" i="7"/>
  <c r="D7" i="12" l="1"/>
  <c r="L2" i="12"/>
  <c r="D6" i="12"/>
  <c r="D4" i="12"/>
  <c r="D8" i="12"/>
  <c r="D31" i="12" s="1"/>
  <c r="J40" i="13"/>
  <c r="M41" i="13" s="1"/>
  <c r="F40" i="13"/>
  <c r="K1" i="13"/>
  <c r="J40" i="11"/>
  <c r="M41" i="11" s="1"/>
  <c r="F40" i="11"/>
  <c r="F41" i="11" s="1"/>
  <c r="K1" i="9"/>
  <c r="K1" i="11"/>
  <c r="F40" i="10"/>
  <c r="J40" i="10"/>
  <c r="K1" i="10"/>
  <c r="H40" i="7"/>
  <c r="J34" i="7"/>
  <c r="J35" i="7"/>
  <c r="J36" i="7"/>
  <c r="J37" i="7"/>
  <c r="J33" i="7"/>
  <c r="I22" i="7"/>
  <c r="I21" i="7"/>
  <c r="M2" i="7"/>
  <c r="E5" i="12" s="1"/>
  <c r="E2" i="7"/>
  <c r="F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E2" i="4"/>
  <c r="F2" i="12" s="1"/>
  <c r="M2" i="4"/>
  <c r="E2" i="12" s="1"/>
  <c r="D5" i="12" l="1"/>
  <c r="D3" i="12"/>
  <c r="D2" i="12"/>
  <c r="D29" i="12" s="1"/>
  <c r="F41" i="10"/>
  <c r="K6" i="12"/>
  <c r="F41" i="13"/>
  <c r="K8" i="12"/>
  <c r="E25" i="12"/>
  <c r="D30" i="12"/>
  <c r="K1" i="6"/>
  <c r="F25" i="12"/>
  <c r="L42" i="10"/>
  <c r="J40" i="7"/>
  <c r="M42" i="7" s="1"/>
  <c r="F40" i="7"/>
  <c r="K1" i="7"/>
  <c r="K1" i="4"/>
  <c r="D25" i="12" l="1"/>
  <c r="F41" i="7"/>
  <c r="L5" i="12" s="1"/>
  <c r="K5" i="12"/>
  <c r="D35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<sst xmlns="http://schemas.openxmlformats.org/spreadsheetml/2006/main" count="987" uniqueCount="306">
  <si>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</si>
  <si>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</si>
  <si>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</si>
  <si>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</si>
  <si>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</si>
  <si>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</si>
  <si>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</si>
  <si>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</si>
  <si>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</si>
  <si>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</si>
  <si>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</si>
  <si>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</si>
  <si>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</si>
  <si>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</si>
  <si>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</si>
  <si>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</si>
  <si>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</si>
  <si>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</si>
  <si>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</si>
  <si>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</si>
  <si>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</si>
  <si>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</si>
  <si>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</si>
  <si>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</si>
  <si>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</si>
  <si>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</si>
  <si>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</si>
  <si>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</si>
  <si>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</si>
  <si>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</si>
  <si>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</si>
  <si>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</si>
  <si>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</si>
  <si>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</si>
  <si>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</si>
  <si>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</si>
  <si>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</si>
  <si>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</si>
  <si>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</si>
  <si>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</si>
  <si>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</si>
  <si>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</si>
  <si>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</si>
  <si>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</si>
  <si>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</si>
  <si>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</si>
  <si>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</si>
  <si>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</si>
  <si>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</si>
  <si>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</si>
  <si>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</si>
  <si>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</si>
  <si>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</si>
  <si>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</si>
  <si>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</si>
  <si>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</si>
  <si>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</si>
  <si>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</si>
  <si>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</si>
  <si>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</si>
  <si>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</si>
  <si>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</si>
  <si>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Trip</t>
  </si>
  <si>
    <t>Price</t>
  </si>
  <si>
    <t>Total</t>
  </si>
  <si>
    <t>Total Seed:</t>
  </si>
  <si>
    <t>Final-3740 tones-275 count 60</t>
  </si>
  <si>
    <t>Seed &amp; Others</t>
  </si>
  <si>
    <t>Lease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</si>
  <si>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</si>
  <si>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</si>
  <si>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</si>
  <si>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</si>
  <si>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</si>
  <si>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</si>
  <si>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</si>
  <si>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</si>
  <si>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</si>
  <si>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</si>
  <si>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</si>
  <si>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</si>
  <si>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</si>
  <si>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</si>
  <si>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</si>
  <si>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</si>
  <si>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</si>
  <si>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</si>
  <si>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</si>
  <si>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</si>
  <si>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</si>
  <si>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</si>
  <si>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</si>
  <si>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</si>
  <si>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</si>
  <si>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</si>
  <si>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</si>
  <si>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</si>
  <si>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</si>
  <si>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</si>
  <si>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</si>
  <si>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</si>
  <si>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</si>
  <si>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</si>
  <si>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</si>
  <si>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</si>
  <si>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</si>
  <si>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</si>
  <si>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</si>
  <si>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</si>
  <si>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</si>
  <si>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</si>
  <si>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</si>
  <si>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</si>
  <si>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</si>
  <si>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</si>
  <si>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</si>
  <si>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</si>
  <si>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</si>
  <si>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</si>
  <si>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</si>
  <si>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</si>
  <si>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</si>
  <si>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</si>
  <si>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</si>
  <si>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</si>
  <si>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</si>
  <si>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</si>
  <si>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</si>
  <si>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</si>
  <si>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</si>
  <si>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</si>
  <si>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</si>
  <si>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</si>
  <si>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</si>
  <si>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</si>
  <si>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</si>
  <si>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</si>
  <si>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</si>
  <si>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</si>
  <si>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</si>
  <si>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</si>
  <si>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</si>
  <si>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</si>
  <si>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</si>
  <si>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</si>
  <si>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</si>
  <si>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</si>
  <si>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</si>
  <si>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</si>
  <si>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</si>
  <si>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</si>
  <si>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</si>
  <si>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</si>
  <si>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</si>
  <si>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</si>
  <si>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</si>
  <si>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</si>
  <si>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</si>
  <si>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</si>
  <si>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</si>
  <si>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</si>
  <si>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</si>
  <si>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</si>
  <si>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</si>
  <si>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</si>
  <si>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</si>
  <si>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</si>
  <si>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</si>
  <si>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</si>
  <si>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</si>
  <si>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</si>
  <si>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</si>
  <si>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</si>
  <si>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</si>
  <si>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</si>
  <si>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</si>
  <si>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</si>
  <si>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</si>
  <si>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</si>
  <si>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</si>
  <si>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</si>
  <si>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</si>
  <si>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</si>
  <si>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</si>
  <si>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</si>
  <si>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</si>
  <si>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</si>
  <si>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</si>
  <si>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</si>
  <si>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</si>
  <si>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</si>
  <si>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</si>
  <si>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</si>
  <si>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</si>
  <si>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</si>
  <si>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</si>
  <si>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</si>
  <si>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</si>
  <si>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</si>
  <si>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</si>
  <si>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</si>
  <si>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</si>
  <si>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</si>
  <si>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</si>
  <si>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</si>
  <si>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</si>
  <si>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</si>
  <si>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</si>
  <si>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</si>
  <si>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</si>
  <si>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</si>
  <si>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</si>
  <si>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</si>
  <si>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</si>
  <si>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</si>
  <si>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</si>
  <si>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</si>
  <si>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</si>
  <si>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</si>
  <si>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</si>
  <si>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</si>
  <si>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</si>
  <si>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</si>
  <si>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</si>
  <si>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</si>
  <si>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</si>
  <si>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</si>
  <si>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</si>
  <si>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</si>
  <si>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</si>
  <si>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</si>
  <si>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</si>
  <si>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</si>
  <si>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</si>
  <si>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</si>
  <si>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</si>
  <si>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</si>
  <si>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</si>
  <si>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</si>
  <si>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</si>
  <si>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</si>
  <si>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</si>
  <si>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</si>
  <si>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</si>
  <si>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</si>
  <si>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</si>
  <si>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</si>
  <si>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</si>
  <si>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</si>
  <si>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</si>
  <si>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</si>
  <si>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</si>
  <si>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</si>
  <si>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</si>
  <si>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</si>
  <si>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</si>
  <si>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</si>
  <si>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</si>
  <si>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</si>
  <si>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</si>
  <si>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</si>
  <si>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</si>
  <si>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</si>
  <si>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</si>
  <si>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</si>
  <si>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</si>
  <si>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</si>
  <si>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</si>
  <si>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</si>
  <si>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</si>
  <si>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</si>
  <si>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</si>
  <si>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</si>
  <si>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</si>
  <si>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</si>
  <si>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</si>
  <si>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</si>
  <si>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</si>
  <si>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</si>
  <si>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</si>
  <si>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</si>
  <si>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</si>
  <si>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</si>
  <si>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</si>
  <si>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</si>
  <si>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</si>
  <si>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</si>
  <si>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</si>
  <si>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</si>
  <si>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</si>
  <si>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</si>
  <si>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Aug2026 - Oct2026</t>
  </si>
  <si>
    <t>Term-14</t>
  </si>
  <si>
    <t>So far 10 tons</t>
  </si>
  <si>
    <t>DCP+</t>
  </si>
  <si>
    <t>Loos Sell Tight</t>
  </si>
  <si>
    <t>Big Tank - Final - 95C-240R-3950T</t>
  </si>
  <si>
    <t>69 days</t>
  </si>
  <si>
    <t>Recovery</t>
  </si>
  <si>
    <t>%</t>
  </si>
  <si>
    <t>Big Tank</t>
  </si>
  <si>
    <t>1st Middle- Function</t>
  </si>
  <si>
    <t>3rd Middle</t>
  </si>
  <si>
    <t>Big Tank - 1st Middle</t>
  </si>
  <si>
    <t>Small Tank - Final - 90C-250R-500T</t>
  </si>
  <si>
    <t>Harvesting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</si>
</sst>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8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3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5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7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0" borderId="28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2" xfId="0" applyBorder="1" applyProtection="1">
      <protection locked="0"/>
    </xf>
    <xf numFmtId="14" fontId="2" fillId="0" borderId="32" xfId="0" applyNumberFormat="1" applyFont="1" applyBorder="1" applyAlignment="1" applyProtection="1">
      <alignment horizontal="center"/>
      <protection locked="0"/>
    </xf>
    <xf numFmtId="0" fontId="2" fillId="0" borderId="32" xfId="0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0" fontId="2" fillId="0" borderId="33" xfId="0" applyFont="1" applyBorder="1" applyProtection="1">
      <protection locked="0"/>
    </xf>
    <xf numFmtId="0" fontId="0" fillId="0" borderId="34" xfId="0" applyBorder="1" applyProtection="1">
      <protection locked="0"/>
    </xf>
    <xf numFmtId="1" fontId="2" fillId="0" borderId="33" xfId="0" applyNumberFormat="1" applyFont="1" applyBorder="1" applyAlignment="1" applyProtection="1">
      <alignment horizontal="center"/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0" fontId="0" fillId="0" borderId="33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164" fontId="0" fillId="0" borderId="35" xfId="0" applyNumberFormat="1" applyBorder="1" applyProtection="1">
      <protection locked="0"/>
    </xf>
    <xf numFmtId="0" fontId="0" fillId="0" borderId="35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2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5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164" fontId="2" fillId="0" borderId="36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2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8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7" xfId="0" applyBorder="1"/>
    <xf numFmtId="0" fontId="0" fillId="6" borderId="28" xfId="0" applyFill="1" applyBorder="1" applyProtection="1">
      <protection locked="0"/>
    </xf>
    <xf numFmtId="164" fontId="0" fillId="0" borderId="28" xfId="0" applyNumberFormat="1" applyBorder="1" applyProtection="1">
      <protection locked="0"/>
    </xf>
    <xf numFmtId="164" fontId="2" fillId="0" borderId="28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165" fontId="2" fillId="4" borderId="20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31" xfId="0" applyNumberFormat="1" applyFont="1" applyFill="1" applyBorder="1" applyAlignment="1" applyProtection="1">
      <alignment horizontal="center"/>
      <protection locked="0"/>
    </xf>
    <xf numFmtId="0" fontId="2" fillId="5" borderId="22" xfId="0" applyFont="1" applyFill="1" applyBorder="1" applyAlignment="1" applyProtection="1">
      <alignment horizontal="center"/>
      <protection locked="0"/>
    </xf>
    <xf numFmtId="0" fontId="2" fillId="5" borderId="25" xfId="0" applyFont="1" applyFill="1" applyBorder="1" applyAlignment="1" applyProtection="1">
      <alignment horizontal="center"/>
      <protection locked="0"/>
    </xf>
    <xf numFmtId="0" fontId="2" fillId="5" borderId="31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8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0" xfId="0" applyNumberFormat="1" applyFont="1" applyFill="1" applyBorder="1" applyAlignment="1" applyProtection="1">
      <alignment horizontal="left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8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3" xfId="0" applyBorder="1" applyAlignment="1">
      <alignment horizontal="right"/>
    </xf>
    <xf numFmtId="0" fontId="2" fillId="0" borderId="28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168" fontId="2" fillId="0" borderId="25" xfId="0" applyNumberFormat="1" applyFont="1" applyBorder="1" applyAlignment="1">
      <alignment horizontal="right"/>
    </xf>
    <xf numFmtId="168" fontId="2" fillId="0" borderId="23" xfId="0" applyNumberFormat="1" applyFont="1" applyBorder="1" applyAlignment="1">
      <alignment horizontal="right"/>
    </xf>
    <xf numFmtId="0" fontId="2" fillId="6" borderId="1" xfId="0" applyFont="1" applyFill="1" applyBorder="1" applyAlignment="1" applyProtection="1">
      <protection locked="0"/>
    </xf>
    <xf numFmtId="0" fontId="2" fillId="6" borderId="21" xfId="0" applyFont="1" applyFill="1" applyBorder="1" applyAlignment="1" applyProtection="1">
      <alignment horizontal="left"/>
      <protection locked="0"/>
    </xf>
    <xf numFmtId="3" fontId="0" fillId="0" borderId="1" xfId="0" applyNumberFormat="1" applyBorder="1"/>
    <xf numFmtId="10" fontId="0" fillId="0" borderId="1" xfId="0" applyNumberFormat="1" applyBorder="1"/>
    <xf numFmtId="0" fontId="2" fillId="0" borderId="0" xfId="0" applyFont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64" fontId="0" fillId="8" borderId="1" xfId="0" applyNumberFormat="1" applyFill="1" applyBorder="1"/>
    <xf numFmtId="1" fontId="0" fillId="8" borderId="1" xfId="0" applyNumberFormat="1" applyFill="1" applyBorder="1"/>
    <xf numFmtId="164" fontId="0" fillId="8" borderId="1" xfId="0" applyNumberFormat="1" applyFill="1" applyBorder="1" applyAlignment="1">
      <alignment horizontal="center"/>
    </xf>
    <xf numFmtId="0" fontId="0" fillId="8" borderId="0" xfId="0" applyFill="1"/>
    <xf numFmtId="3" fontId="0" fillId="8" borderId="1" xfId="0" applyNumberFormat="1" applyFill="1" applyBorder="1"/>
    <xf numFmtId="10" fontId="0" fillId="8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2" fillId="0" borderId="2" xfId="0" applyFont="1" applyBorder="1"/>
    <xf numFmtId="164" fontId="2" fillId="0" borderId="2" xfId="0" applyNumberFormat="1" applyFont="1" applyBorder="1" applyAlignment="1">
      <alignment horizontal="right"/>
    </xf>
    <xf numFmtId="164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 applyAlignment="1">
      <alignment horizontal="center"/>
    </xf>
    <xf numFmtId="3" fontId="0" fillId="0" borderId="2" xfId="0" applyNumberFormat="1" applyBorder="1"/>
    <xf numFmtId="10" fontId="0" fillId="0" borderId="2" xfId="0" applyNumberFormat="1" applyBorder="1"/>
    <xf numFmtId="0" fontId="0" fillId="0" borderId="38" xfId="0" applyBorder="1"/>
    <xf numFmtId="0" fontId="0" fillId="0" borderId="40" xfId="0" applyBorder="1"/>
    <xf numFmtId="0" fontId="2" fillId="7" borderId="39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left"/>
    </xf>
    <xf numFmtId="0" fontId="2" fillId="7" borderId="39" xfId="0" applyFont="1" applyFill="1" applyBorder="1"/>
    <xf numFmtId="0" fontId="2" fillId="7" borderId="39" xfId="0" applyFont="1" applyFill="1" applyBorder="1" applyAlignment="1">
      <alignment horizontal="right"/>
    </xf>
    <xf numFmtId="0" fontId="0" fillId="7" borderId="39" xfId="0" applyFont="1" applyFill="1" applyBorder="1"/>
    <xf numFmtId="168" fontId="2" fillId="7" borderId="39" xfId="0" applyNumberFormat="1" applyFont="1" applyFill="1" applyBorder="1" applyAlignment="1"/>
  </cellXfs>
  <cellStyles count="1">
    <cellStyle name="Normal" xfId="0" builtinId="0"/>
  </cellStyles>
  <dxfs count="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'Summary List'!$D$1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E4F-47CD-A7C6-0B7F6F8BB8BA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E4F-47CD-A7C6-0B7F6F8BB8BA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4E4F-47CD-A7C6-0B7F6F8BB8BA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E4F-47CD-A7C6-0B7F6F8BB8BA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4E4F-47CD-A7C6-0B7F6F8BB8BA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E4F-47CD-A7C6-0B7F6F8BB8BA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4E4F-47CD-A7C6-0B7F6F8BB8B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E4F-47CD-A7C6-0B7F6F8BB8B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'Summary List'!$C$2:$C$15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'Summary List'!$D$2:$D$15</c:f>
              <c:numCache>
                <c:formatCode>"₹"\ #,##0</c:formatCode>
                <c:ptCount val="14"/>
                <c:pt idx="0">
                  <c:v>-790524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-11227.600000000093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9-4E4F-47CD-A7C6-0B7F6F8B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EF3D-4190-B64F-602760BB80E1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F3D-4190-B64F-602760BB80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'Summary List'!$D$25</c:f>
              <c:numCache>
                <c:formatCode>"₹"\ #,##0</c:formatCode>
                <c:ptCount val="1"/>
                <c:pt idx="0">
                  <c:v>4182515.4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EF3D-4190-B64F-602760BB8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'Summary List'!$B$28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'Summary List'!$B$29:$B$32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E-48B7-8584-6C8583619911}"/>
            </c:ext>
          </c:extLst>
        </c:ser>
        <c:ser>
          <c:idx val="2"/>
          <c:order val="1"/>
          <c:tx>
            <c:strRef>
              <c:f>'Summary List'!$D$28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'Summary List'!$D$29:$D$32</c:f>
              <c:numCache>
                <c:formatCode>"₹"\ #,##0</c:formatCode>
                <c:ptCount val="4"/>
                <c:pt idx="0">
                  <c:v>-1478634</c:v>
                </c:pt>
                <c:pt idx="1">
                  <c:v>2491969</c:v>
                </c:pt>
                <c:pt idx="2">
                  <c:v>3039754.5</c:v>
                </c:pt>
                <c:pt idx="3">
                  <c:v>129425.89999999991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7F9E-48B7-8584-6C8583619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4.jpeg"/><Relationship Id="rId1" Type="http://schemas.openxmlformats.org/officeDocument/2006/relationships/image" Target="../media/image1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40654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1718733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7619</xdr:rowOff>
    </xdr:from>
    <xdr:to>
      <xdr:col>4</xdr:col>
      <xdr:colOff>358140</xdr:colOff>
      <xdr:row>59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44</xdr:row>
      <xdr:rowOff>0</xdr:rowOff>
    </xdr:from>
    <xdr:to>
      <xdr:col>6</xdr:col>
      <xdr:colOff>624839</xdr:colOff>
      <xdr:row>66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10</xdr:col>
      <xdr:colOff>411479</xdr:colOff>
      <xdr:row>66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226736</xdr:colOff>
      <xdr:row>1</xdr:row>
      <xdr:rowOff>44390</xdr:rowOff>
    </xdr:from>
    <xdr:to>
      <xdr:col>6</xdr:col>
      <xdr:colOff>299787</xdr:colOff>
      <xdr:row>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16E3DF-4FC8-4150-A2CE-2CAFDF2B4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2636" y="227270"/>
          <a:ext cx="682650" cy="416620"/>
        </a:xfrm>
        <a:prstGeom prst="rect">
          <a:avLst/>
        </a:prstGeom>
      </xdr:spPr>
    </xdr:pic>
    <xdr:clientData/>
  </xdr:twoCellAnchor>
  <xdr:twoCellAnchor editAs="oneCell">
    <xdr:from>
      <xdr:col>2</xdr:col>
      <xdr:colOff>407633</xdr:colOff>
      <xdr:row>1</xdr:row>
      <xdr:rowOff>14224</xdr:rowOff>
    </xdr:from>
    <xdr:to>
      <xdr:col>3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75E20DA-D284-492A-A486-61F6D3C5E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3253" y="197104"/>
          <a:ext cx="500007" cy="489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18</xdr:col>
      <xdr:colOff>7327</xdr:colOff>
      <xdr:row>24</xdr:row>
      <xdr:rowOff>29308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B2CA43-BDCF-405B-8906-15276F16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608133</xdr:colOff>
      <xdr:row>1</xdr:row>
      <xdr:rowOff>0</xdr:rowOff>
    </xdr:from>
    <xdr:to>
      <xdr:col>21</xdr:col>
      <xdr:colOff>608134</xdr:colOff>
      <xdr:row>24</xdr:row>
      <xdr:rowOff>36634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25C607-B6C9-4779-B0E6-5ACE0EE0B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43961</xdr:rowOff>
    </xdr:from>
    <xdr:to>
      <xdr:col>17</xdr:col>
      <xdr:colOff>586154</xdr:colOff>
      <xdr:row>43</xdr:row>
      <xdr:rowOff>153866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30B472-9FCD-4069-AD8D-65606D6CC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5"/>
  <sheetViews>
    <sheetView zoomScaleNormal="100" workbookViewId="0">
      <pane xSplit="13" ySplit="4" topLeftCell="CT5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2.10937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177</v>
      </c>
      <c r="C1" s="157"/>
      <c r="D1" s="157"/>
      <c r="E1" s="157"/>
      <c r="F1" s="158"/>
      <c r="G1" s="16" t="s">
        <v>25</v>
      </c>
      <c r="H1" s="146">
        <v>45076</v>
      </c>
      <c r="I1" s="147"/>
      <c r="J1" s="17" t="s">
        <v>15</v>
      </c>
      <c r="K1" s="159">
        <f>M2-E2</f>
        <v>-790524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2050924</v>
      </c>
      <c r="F2" s="20"/>
      <c r="G2" s="31" t="s">
        <v>32</v>
      </c>
      <c r="H2" s="148" t="s">
        <v>239</v>
      </c>
      <c r="I2" s="163"/>
      <c r="J2" s="37"/>
      <c r="K2" s="10"/>
      <c r="L2" s="11" t="s">
        <v>14</v>
      </c>
      <c r="M2" s="12">
        <f>SUM(M5:M30)</f>
        <v>1260400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45025</v>
      </c>
      <c r="D5" s="8" t="s">
        <v>4</v>
      </c>
      <c r="E5" s="9">
        <v>200000</v>
      </c>
      <c r="F5" s="23" t="s">
        <v>5</v>
      </c>
      <c r="G5" s="43">
        <v>45126</v>
      </c>
      <c r="H5" s="44">
        <v>120</v>
      </c>
      <c r="I5" s="47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940000</v>
      </c>
      <c r="N5" s="22" t="s">
        <v>40</v>
      </c>
    </row>
    <row r="6" spans="1:14" x14ac:dyDescent="0.3">
      <c r="A6" s="15"/>
      <c r="B6" s="40">
        <v>2</v>
      </c>
      <c r="C6" s="7">
        <v>45027</v>
      </c>
      <c r="D6" s="8" t="s">
        <v>287</v>
      </c>
      <c r="E6" s="9">
        <v>21401</v>
      </c>
      <c r="F6" s="23"/>
      <c r="G6" s="43">
        <v>45133</v>
      </c>
      <c r="H6" s="44">
        <v>108</v>
      </c>
      <c r="I6" s="47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320400</v>
      </c>
      <c r="N6" s="22" t="s">
        <v>47</v>
      </c>
    </row>
    <row r="7" spans="1:14" x14ac:dyDescent="0.3">
      <c r="A7" s="15"/>
      <c r="B7" s="40">
        <v>3</v>
      </c>
      <c r="C7" s="7">
        <v>45029</v>
      </c>
      <c r="D7" s="3" t="s">
        <v>6</v>
      </c>
      <c r="E7" s="5">
        <v>64000</v>
      </c>
      <c r="F7" s="22" t="s">
        <v>7</v>
      </c>
      <c r="G7" s="43">
        <v>45140</v>
      </c>
      <c r="H7" s="44">
        <v>92</v>
      </c>
      <c r="I7" s="47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45029</v>
      </c>
      <c r="D8" s="3" t="s">
        <v>288</v>
      </c>
      <c r="E8" s="5">
        <v>30400</v>
      </c>
      <c r="F8" s="22"/>
      <c r="G8" s="46">
        <v>45150</v>
      </c>
      <c r="H8" s="44">
        <v>80</v>
      </c>
      <c r="I8" s="47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>
        <v>45029</v>
      </c>
      <c r="D9" s="3" t="s">
        <v>8</v>
      </c>
      <c r="E9" s="5">
        <v>47000</v>
      </c>
      <c r="F9" s="22" t="s">
        <v>9</v>
      </c>
      <c r="G9" s="46"/>
      <c r="H9" s="44"/>
      <c r="I9" s="47"/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>
        <v>45029</v>
      </c>
      <c r="D10" s="3" t="s">
        <v>10</v>
      </c>
      <c r="E10" s="5">
        <v>17302</v>
      </c>
      <c r="F10" s="22"/>
      <c r="G10" s="32"/>
      <c r="H10" s="44"/>
      <c r="I10" s="47"/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4">
        <v>45062</v>
      </c>
      <c r="D12" s="3" t="s">
        <v>16</v>
      </c>
      <c r="E12" s="5">
        <v>12700</v>
      </c>
      <c r="F12" s="22"/>
      <c r="G12" s="143" t="s">
        <v>41</v>
      </c>
      <c r="H12" s="144"/>
      <c r="I12" s="14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0">
        <v>45114</v>
      </c>
      <c r="I13" s="48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4">
        <v>45065</v>
      </c>
      <c r="D14" s="3" t="s">
        <v>289</v>
      </c>
      <c r="E14" s="5">
        <v>58980</v>
      </c>
      <c r="F14" s="22"/>
      <c r="G14" s="31" t="s">
        <v>32</v>
      </c>
      <c r="H14" s="148" t="s">
        <v>240</v>
      </c>
      <c r="I14" s="16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50" t="s">
        <v>33</v>
      </c>
      <c r="H15" s="151"/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68" t="s">
        <v>26</v>
      </c>
      <c r="I16" s="16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3">
        <v>45163</v>
      </c>
      <c r="H17" s="44">
        <v>115</v>
      </c>
      <c r="I17" s="47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3">
        <v>45169</v>
      </c>
      <c r="H18" s="44">
        <v>105</v>
      </c>
      <c r="I18" s="47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3">
        <v>45171</v>
      </c>
      <c r="H19" s="44">
        <v>100</v>
      </c>
      <c r="I19" s="47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6">
        <v>45173</v>
      </c>
      <c r="H20" s="44">
        <v>87</v>
      </c>
      <c r="I20" s="47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6"/>
      <c r="H21" s="44"/>
      <c r="I21" s="47"/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4"/>
      <c r="H22" s="44"/>
      <c r="I22" s="47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>
        <v>45150</v>
      </c>
      <c r="D23" s="3" t="s">
        <v>42</v>
      </c>
      <c r="E23" s="5">
        <v>20000</v>
      </c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6">
        <v>45150</v>
      </c>
      <c r="D24" s="3" t="s">
        <v>49</v>
      </c>
      <c r="E24" s="5">
        <v>140000</v>
      </c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6">
        <v>45150</v>
      </c>
      <c r="D25" s="3" t="s">
        <v>31</v>
      </c>
      <c r="E25" s="5">
        <v>30000</v>
      </c>
      <c r="F25" s="22" t="s">
        <v>52</v>
      </c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6">
        <v>45150</v>
      </c>
      <c r="D26" s="3" t="s">
        <v>48</v>
      </c>
      <c r="E26" s="5">
        <v>600000</v>
      </c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>
        <v>45154</v>
      </c>
      <c r="D27" s="3" t="s">
        <v>73</v>
      </c>
      <c r="E27" s="5">
        <v>52980</v>
      </c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>
        <v>26</v>
      </c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600000</v>
      </c>
      <c r="I31" s="59" t="s">
        <v>187</v>
      </c>
      <c r="J31" s="180">
        <v>10000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320000</v>
      </c>
      <c r="G33" s="57">
        <v>80</v>
      </c>
      <c r="H33" s="65">
        <v>4000</v>
      </c>
      <c r="I33" s="60">
        <v>235</v>
      </c>
      <c r="J33" s="137">
        <f>H33*I33</f>
        <v>940000</v>
      </c>
      <c r="K33" s="137"/>
      <c r="L33" s="6"/>
    </row>
    <row r="34" spans="4:13" x14ac:dyDescent="0.3">
      <c r="E34" s="15" t="s">
        <v>57</v>
      </c>
      <c r="F34" s="57">
        <f t="shared" ref="F34:F39" si="3">H34*G34</f>
        <v>104400</v>
      </c>
      <c r="G34" s="57">
        <v>87</v>
      </c>
      <c r="H34" s="65">
        <v>1200</v>
      </c>
      <c r="I34" s="60">
        <v>267</v>
      </c>
      <c r="J34" s="137">
        <f t="shared" ref="J34:J39" si="4">H34*I34</f>
        <v>320400</v>
      </c>
      <c r="K34" s="137"/>
      <c r="L34" s="6"/>
    </row>
    <row r="35" spans="4:13" x14ac:dyDescent="0.3">
      <c r="E35" s="15"/>
      <c r="F35" s="57">
        <f t="shared" si="3"/>
        <v>0</v>
      </c>
      <c r="G35" s="57"/>
      <c r="H35" s="65"/>
      <c r="I35" s="60"/>
      <c r="J35" s="137">
        <f t="shared" si="4"/>
        <v>0</v>
      </c>
      <c r="K35" s="137"/>
      <c r="L35" s="6"/>
    </row>
    <row r="36" spans="4:13" x14ac:dyDescent="0.3">
      <c r="E36" s="15"/>
      <c r="F36" s="57">
        <f t="shared" si="3"/>
        <v>0</v>
      </c>
      <c r="G36" s="57"/>
      <c r="H36" s="65"/>
      <c r="I36" s="60"/>
      <c r="J36" s="137">
        <f t="shared" si="4"/>
        <v>0</v>
      </c>
      <c r="K36" s="137"/>
      <c r="L36" s="6"/>
    </row>
    <row r="37" spans="4:13" x14ac:dyDescent="0.3">
      <c r="E37" s="15"/>
      <c r="F37" s="57">
        <f t="shared" si="3"/>
        <v>0</v>
      </c>
      <c r="G37" s="57"/>
      <c r="H37" s="65"/>
      <c r="I37" s="60"/>
      <c r="J37" s="137">
        <f t="shared" si="4"/>
        <v>0</v>
      </c>
      <c r="K37" s="137"/>
      <c r="L37" s="6"/>
    </row>
    <row r="38" spans="4:13" x14ac:dyDescent="0.3">
      <c r="E38" s="15"/>
      <c r="F38" s="57">
        <f t="shared" si="3"/>
        <v>0</v>
      </c>
      <c r="G38" s="57"/>
      <c r="H38" s="65"/>
      <c r="I38" s="60"/>
      <c r="J38" s="137">
        <f t="shared" si="4"/>
        <v>0</v>
      </c>
      <c r="K38" s="137"/>
      <c r="L38" s="6"/>
    </row>
    <row r="39" spans="4:13" x14ac:dyDescent="0.3">
      <c r="E39" s="15"/>
      <c r="F39" s="57">
        <f t="shared" si="3"/>
        <v>0</v>
      </c>
      <c r="G39" s="57"/>
      <c r="H39" s="65"/>
      <c r="I39" s="60"/>
      <c r="J39" s="137">
        <f t="shared" si="4"/>
        <v>0</v>
      </c>
      <c r="K39" s="137"/>
      <c r="L39" s="6"/>
    </row>
    <row r="40" spans="4:13" x14ac:dyDescent="0.3">
      <c r="E40" s="50" t="s">
        <v>61</v>
      </c>
      <c r="F40" s="58">
        <f>SUM(F33:F38)</f>
        <v>424400</v>
      </c>
      <c r="G40" s="58"/>
      <c r="H40" s="58">
        <f>SUM(H33:H39)</f>
        <v>5200</v>
      </c>
      <c r="I40" s="50"/>
      <c r="J40" s="138">
        <f>SUM(J33:J39)</f>
        <v>1260400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60.63%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1260400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K1:L1">
    <cfRule type="cellIs" dxfId="75" priority="6" operator="greaterThan">
      <formula>0</formula>
    </cfRule>
    <cfRule type="cellIs" dxfId="74" priority="7" operator="lessThan">
      <formula>0</formula>
    </cfRule>
  </conditionalFormatting>
  <conditionalFormatting sqref="L5:L30">
    <cfRule type="duplicateValues" dxfId="73" priority="54"/>
  </conditionalFormatting>
  <conditionalFormatting sqref="M5:M30">
    <cfRule type="duplicateValues" dxfId="72" priority="55"/>
  </conditionalFormatting>
  <conditionalFormatting sqref="S24:S26">
    <cfRule type="duplicateValues" dxfId="71" priority="1"/>
  </conditionalFormatting>
  <conditionalFormatting sqref="D5:D30">
    <cfRule type="duplicateValues" dxfId="70" priority="59"/>
  </conditionalFormatting>
  <conditionalFormatting sqref="E5:E30">
    <cfRule type="duplicateValues" dxfId="69" priority="60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9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178</v>
      </c>
      <c r="C1" s="157"/>
      <c r="D1" s="157"/>
      <c r="E1" s="157"/>
      <c r="F1" s="158"/>
      <c r="G1" s="16" t="s">
        <v>25</v>
      </c>
      <c r="H1" s="146">
        <v>45163</v>
      </c>
      <c r="I1" s="147"/>
      <c r="J1" s="17" t="s">
        <v>15</v>
      </c>
      <c r="K1" s="159">
        <f>M2-E2</f>
        <v>-218110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518110</v>
      </c>
      <c r="F2" s="20"/>
      <c r="G2" s="31" t="s">
        <v>32</v>
      </c>
      <c r="H2" s="148" t="s">
        <v>265</v>
      </c>
      <c r="I2" s="163"/>
      <c r="J2" s="37"/>
      <c r="K2" s="10"/>
      <c r="L2" s="11" t="s">
        <v>14</v>
      </c>
      <c r="M2" s="12">
        <f>SUM(M5:M30)</f>
        <v>300000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45189</v>
      </c>
      <c r="H5" s="44">
        <v>325</v>
      </c>
      <c r="I5" s="47" t="str">
        <f>IF(ISBLANK(G5),"",CONCATENATE(G5-$H$1+1," days"))</f>
        <v>27 days</v>
      </c>
      <c r="J5" s="21">
        <v>1</v>
      </c>
      <c r="K5" s="4">
        <v>45189</v>
      </c>
      <c r="L5" s="3" t="s">
        <v>64</v>
      </c>
      <c r="M5" s="5">
        <v>300000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/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45181</v>
      </c>
      <c r="D8" s="3" t="s">
        <v>53</v>
      </c>
      <c r="E8" s="5">
        <v>28110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300000</v>
      </c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43" t="s">
        <v>41</v>
      </c>
      <c r="H12" s="144"/>
      <c r="I12" s="14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46">
        <v>45163</v>
      </c>
      <c r="I13" s="14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48" t="s">
        <v>265</v>
      </c>
      <c r="I14" s="16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50" t="s">
        <v>33</v>
      </c>
      <c r="H15" s="151"/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68" t="s">
        <v>26</v>
      </c>
      <c r="I16" s="16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45189</v>
      </c>
      <c r="H17" s="44">
        <v>325</v>
      </c>
      <c r="I17" s="47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800000</v>
      </c>
      <c r="G31" s="90" t="s">
        <v>186</v>
      </c>
      <c r="H31" s="125">
        <v>700000</v>
      </c>
      <c r="I31" s="59" t="s">
        <v>187</v>
      </c>
      <c r="J31" s="180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620000</v>
      </c>
      <c r="G33" s="57">
        <v>124</v>
      </c>
      <c r="H33" s="65">
        <v>5000</v>
      </c>
      <c r="I33" s="60">
        <v>60</v>
      </c>
      <c r="J33" s="137">
        <f>H33*I33</f>
        <v>300000</v>
      </c>
      <c r="K33" s="137"/>
      <c r="L33" s="6"/>
    </row>
    <row r="34" spans="4:13" x14ac:dyDescent="0.3">
      <c r="E34" s="15"/>
      <c r="F34" s="57"/>
      <c r="G34" s="57"/>
      <c r="H34" s="65"/>
      <c r="I34" s="60"/>
      <c r="J34" s="137">
        <f t="shared" ref="J34:J39" si="2">H34*I34</f>
        <v>0</v>
      </c>
      <c r="K34" s="137"/>
      <c r="L34" s="6"/>
    </row>
    <row r="35" spans="4:13" x14ac:dyDescent="0.3">
      <c r="E35" s="15"/>
      <c r="F35" s="57"/>
      <c r="G35" s="57"/>
      <c r="H35" s="65"/>
      <c r="I35" s="60"/>
      <c r="J35" s="137">
        <f t="shared" si="2"/>
        <v>0</v>
      </c>
      <c r="K35" s="137"/>
      <c r="L35" s="6"/>
    </row>
    <row r="36" spans="4:13" x14ac:dyDescent="0.3">
      <c r="E36" s="15"/>
      <c r="F36" s="57"/>
      <c r="G36" s="57"/>
      <c r="H36" s="65"/>
      <c r="I36" s="60"/>
      <c r="J36" s="137">
        <f t="shared" si="2"/>
        <v>0</v>
      </c>
      <c r="K36" s="137"/>
      <c r="L36" s="6"/>
    </row>
    <row r="37" spans="4:13" x14ac:dyDescent="0.3">
      <c r="E37" s="15"/>
      <c r="F37" s="57"/>
      <c r="G37" s="57"/>
      <c r="H37" s="65"/>
      <c r="I37" s="60"/>
      <c r="J37" s="137">
        <f t="shared" si="2"/>
        <v>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si="2"/>
        <v>0</v>
      </c>
      <c r="K38" s="137"/>
      <c r="L38" s="6"/>
    </row>
    <row r="39" spans="4:13" x14ac:dyDescent="0.3">
      <c r="E39" s="15"/>
      <c r="F39" s="57"/>
      <c r="G39" s="57"/>
      <c r="H39" s="65"/>
      <c r="I39" s="60"/>
      <c r="J39" s="137">
        <f t="shared" si="2"/>
        <v>0</v>
      </c>
      <c r="K39" s="137"/>
      <c r="L39" s="6"/>
    </row>
    <row r="40" spans="4:13" x14ac:dyDescent="0.3">
      <c r="E40" s="50" t="s">
        <v>61</v>
      </c>
      <c r="F40" s="58">
        <f>SUM(F33:F38)</f>
        <v>620000</v>
      </c>
      <c r="G40" s="58"/>
      <c r="H40" s="58">
        <f>SUM(H33:H39)</f>
        <v>5000</v>
      </c>
      <c r="I40" s="50"/>
      <c r="J40" s="138">
        <f>SUM(J33:J39)</f>
        <v>300000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77.5%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300000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0">
    <cfRule type="duplicateValues" dxfId="68" priority="28"/>
  </conditionalFormatting>
  <conditionalFormatting sqref="E5:E30">
    <cfRule type="duplicateValues" dxfId="67" priority="30"/>
  </conditionalFormatting>
  <conditionalFormatting sqref="K1:L1">
    <cfRule type="cellIs" dxfId="66" priority="4" operator="greaterThan">
      <formula>0</formula>
    </cfRule>
    <cfRule type="cellIs" dxfId="65" priority="5" operator="lessThan">
      <formula>0</formula>
    </cfRule>
  </conditionalFormatting>
  <conditionalFormatting sqref="L5:L30">
    <cfRule type="duplicateValues" dxfId="64" priority="32"/>
  </conditionalFormatting>
  <conditionalFormatting sqref="M5:M30">
    <cfRule type="duplicateValues" dxfId="63" priority="33"/>
  </conditionalFormatting>
  <conditionalFormatting sqref="S24:S26">
    <cfRule type="duplicateValues" dxfId="6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2" activePane="bottomRight" state="frozen"/>
      <selection pane="topRight" activeCell="M1" sqref="M1"/>
      <selection pane="bottomLeft" activeCell="A5" sqref="A5"/>
      <selection pane="bottomRight" activeCell="I37" sqref="I37"/>
    </sheetView>
  </sheetViews>
  <sheetFormatPr defaultRowHeight="14.4" x14ac:dyDescent="0.3"/>
  <cols>
    <col min="1" max="1" width="3.44140625" style="1" bestFit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179</v>
      </c>
      <c r="C1" s="157"/>
      <c r="D1" s="157"/>
      <c r="E1" s="157"/>
      <c r="F1" s="158"/>
      <c r="G1" s="16" t="s">
        <v>25</v>
      </c>
      <c r="H1" s="146">
        <v>45163</v>
      </c>
      <c r="I1" s="147"/>
      <c r="J1" s="17" t="s">
        <v>15</v>
      </c>
      <c r="K1" s="159">
        <f>M2-E2</f>
        <v>-470000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590000</v>
      </c>
      <c r="F2" s="20"/>
      <c r="G2" s="31" t="s">
        <v>32</v>
      </c>
      <c r="H2" s="148" t="s">
        <v>266</v>
      </c>
      <c r="I2" s="163"/>
      <c r="J2" s="37"/>
      <c r="K2" s="10"/>
      <c r="L2" s="11" t="s">
        <v>14</v>
      </c>
      <c r="M2" s="12">
        <f>SUM(M5:M30)</f>
        <v>120000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45199</v>
      </c>
      <c r="H5" s="44">
        <v>325</v>
      </c>
      <c r="I5" s="47" t="str">
        <f>IF(ISBLANK(G5),"",CONCATENATE(G5-$H$1+1," days"))</f>
        <v>37 days</v>
      </c>
      <c r="J5" s="21">
        <v>1</v>
      </c>
      <c r="K5" s="4">
        <v>45189</v>
      </c>
      <c r="L5" s="15" t="s">
        <v>105</v>
      </c>
      <c r="M5" s="5">
        <v>120000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>
        <v>300000</v>
      </c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/>
      <c r="D8" s="3" t="s">
        <v>73</v>
      </c>
      <c r="E8" s="5">
        <v>100000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43" t="s">
        <v>41</v>
      </c>
      <c r="H12" s="144"/>
      <c r="I12" s="14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46">
        <v>45163</v>
      </c>
      <c r="I13" s="14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48" t="s">
        <v>266</v>
      </c>
      <c r="I14" s="16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50" t="s">
        <v>33</v>
      </c>
      <c r="H15" s="151"/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68" t="s">
        <v>26</v>
      </c>
      <c r="I16" s="16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45199</v>
      </c>
      <c r="H17" s="44">
        <v>325</v>
      </c>
      <c r="I17" s="47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180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325000</v>
      </c>
      <c r="G33" s="57">
        <v>325</v>
      </c>
      <c r="H33" s="65">
        <v>1000</v>
      </c>
      <c r="I33" s="60">
        <v>100</v>
      </c>
      <c r="J33" s="137">
        <f>H33*I33</f>
        <v>100000</v>
      </c>
      <c r="K33" s="137"/>
      <c r="L33" s="6"/>
    </row>
    <row r="34" spans="4:13" x14ac:dyDescent="0.3">
      <c r="E34" s="15" t="s">
        <v>57</v>
      </c>
      <c r="F34" s="57">
        <f t="shared" ref="F34:F39" si="2">H34*G34</f>
        <v>65000</v>
      </c>
      <c r="G34" s="57">
        <v>325</v>
      </c>
      <c r="H34" s="65">
        <v>200</v>
      </c>
      <c r="I34" s="60">
        <v>100</v>
      </c>
      <c r="J34" s="137">
        <f t="shared" ref="J34:J39" si="3">H34*I34</f>
        <v>20000</v>
      </c>
      <c r="K34" s="137"/>
      <c r="L34" s="6"/>
    </row>
    <row r="35" spans="4:13" x14ac:dyDescent="0.3">
      <c r="E35" s="15"/>
      <c r="F35" s="57">
        <f t="shared" si="2"/>
        <v>0</v>
      </c>
      <c r="G35" s="57"/>
      <c r="H35" s="65"/>
      <c r="I35" s="60"/>
      <c r="J35" s="137">
        <f t="shared" si="3"/>
        <v>0</v>
      </c>
      <c r="K35" s="137"/>
      <c r="L35" s="6"/>
    </row>
    <row r="36" spans="4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6"/>
    </row>
    <row r="37" spans="4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6"/>
    </row>
    <row r="38" spans="4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6"/>
    </row>
    <row r="39" spans="4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390000</v>
      </c>
      <c r="G40" s="58"/>
      <c r="H40" s="58">
        <f>SUM(H33:H39)</f>
        <v>1200</v>
      </c>
      <c r="I40" s="50"/>
      <c r="J40" s="138">
        <f>SUM(J33:J39)</f>
        <v>120000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55.71%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0">
    <cfRule type="duplicateValues" dxfId="61" priority="22"/>
  </conditionalFormatting>
  <conditionalFormatting sqref="E5:E30">
    <cfRule type="duplicateValues" dxfId="60" priority="24"/>
  </conditionalFormatting>
  <conditionalFormatting sqref="K1:L1">
    <cfRule type="cellIs" dxfId="59" priority="4" operator="greaterThan">
      <formula>0</formula>
    </cfRule>
    <cfRule type="cellIs" dxfId="58" priority="5" operator="lessThan">
      <formula>0</formula>
    </cfRule>
  </conditionalFormatting>
  <conditionalFormatting sqref="L5:L30">
    <cfRule type="duplicateValues" dxfId="57" priority="26"/>
  </conditionalFormatting>
  <conditionalFormatting sqref="M5:M30">
    <cfRule type="duplicateValues" dxfId="56" priority="27"/>
  </conditionalFormatting>
  <conditionalFormatting sqref="S24:S26">
    <cfRule type="duplicateValues" dxfId="5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9" activePane="bottomRight" state="frozen"/>
      <selection pane="topRight" activeCell="M1" sqref="M1"/>
      <selection pane="bottomLeft" activeCell="A5" sqref="A5"/>
      <selection pane="bottomRight" activeCell="H40" sqref="H40"/>
    </sheetView>
  </sheetViews>
  <sheetFormatPr defaultRowHeight="14.4" x14ac:dyDescent="0.3"/>
  <cols>
    <col min="1" max="1" width="2.441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664062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180</v>
      </c>
      <c r="C1" s="157"/>
      <c r="D1" s="157"/>
      <c r="E1" s="157"/>
      <c r="F1" s="158"/>
      <c r="G1" s="16" t="s">
        <v>25</v>
      </c>
      <c r="H1" s="146">
        <v>45345</v>
      </c>
      <c r="I1" s="147"/>
      <c r="J1" s="17" t="s">
        <v>15</v>
      </c>
      <c r="K1" s="159">
        <f>M2-E2</f>
        <v>1098545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1601499</v>
      </c>
      <c r="F2" s="20"/>
      <c r="G2" s="31" t="s">
        <v>32</v>
      </c>
      <c r="H2" s="148" t="s">
        <v>254</v>
      </c>
      <c r="I2" s="163"/>
      <c r="J2" s="37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45344</v>
      </c>
      <c r="D5" s="8"/>
      <c r="E5" s="9"/>
      <c r="F5" s="23"/>
      <c r="G5" s="43">
        <v>45396</v>
      </c>
      <c r="H5" s="44">
        <v>124</v>
      </c>
      <c r="I5" s="47" t="str">
        <f>IF(ISBLANK(G5),"",CONCATENATE(G5-$H$1+1," days"))</f>
        <v>52 days</v>
      </c>
      <c r="J5" s="21">
        <v>1</v>
      </c>
      <c r="K5" s="4">
        <v>45399</v>
      </c>
      <c r="L5" s="3" t="s">
        <v>110</v>
      </c>
      <c r="M5" s="5">
        <v>432360</v>
      </c>
      <c r="N5" s="22"/>
    </row>
    <row r="6" spans="1:14" x14ac:dyDescent="0.3">
      <c r="A6" s="15"/>
      <c r="B6" s="40">
        <v>2</v>
      </c>
      <c r="C6" s="7"/>
      <c r="D6" s="8" t="s">
        <v>60</v>
      </c>
      <c r="E6" s="9">
        <v>1015118</v>
      </c>
      <c r="G6" s="43">
        <v>45399</v>
      </c>
      <c r="H6" s="44">
        <v>107</v>
      </c>
      <c r="I6" s="47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111</v>
      </c>
      <c r="M6" s="5">
        <v>454020</v>
      </c>
      <c r="N6" s="22"/>
    </row>
    <row r="7" spans="1:14" x14ac:dyDescent="0.3">
      <c r="A7" s="15"/>
      <c r="B7" s="40">
        <v>3</v>
      </c>
      <c r="D7" s="8" t="s">
        <v>67</v>
      </c>
      <c r="E7" s="9">
        <v>436381</v>
      </c>
      <c r="F7" s="23" t="s">
        <v>156</v>
      </c>
      <c r="G7" s="43">
        <v>45404</v>
      </c>
      <c r="H7" s="44">
        <v>88</v>
      </c>
      <c r="I7" s="47" t="str">
        <f t="shared" si="0"/>
        <v>60 days</v>
      </c>
      <c r="J7" s="21">
        <v>3</v>
      </c>
      <c r="K7" s="4">
        <v>45408</v>
      </c>
      <c r="L7" s="3" t="s">
        <v>59</v>
      </c>
      <c r="M7" s="5">
        <v>253179</v>
      </c>
      <c r="N7" s="22"/>
    </row>
    <row r="8" spans="1:14" x14ac:dyDescent="0.3">
      <c r="A8" s="15"/>
      <c r="B8" s="40">
        <v>4</v>
      </c>
      <c r="C8" s="7"/>
      <c r="D8" s="3" t="s">
        <v>71</v>
      </c>
      <c r="E8" s="5">
        <v>65000</v>
      </c>
      <c r="F8" s="22"/>
      <c r="G8" s="43">
        <v>45407</v>
      </c>
      <c r="H8" s="44">
        <v>80</v>
      </c>
      <c r="I8" s="47" t="str">
        <f t="shared" si="0"/>
        <v>63 days</v>
      </c>
      <c r="J8" s="21">
        <v>4</v>
      </c>
      <c r="K8" s="4">
        <v>45416</v>
      </c>
      <c r="L8" s="3" t="s">
        <v>112</v>
      </c>
      <c r="M8" s="5">
        <v>535000</v>
      </c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85000</v>
      </c>
      <c r="F9" s="22"/>
      <c r="G9" s="46">
        <v>45408</v>
      </c>
      <c r="H9" s="44">
        <v>78</v>
      </c>
      <c r="I9" s="47" t="str">
        <f t="shared" si="0"/>
        <v>64 days</v>
      </c>
      <c r="J9" s="21">
        <v>5</v>
      </c>
      <c r="K9" s="4">
        <v>45421</v>
      </c>
      <c r="L9" s="3" t="s">
        <v>66</v>
      </c>
      <c r="M9" s="5">
        <v>1025485</v>
      </c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46">
        <v>45415</v>
      </c>
      <c r="H10" s="44">
        <v>62</v>
      </c>
      <c r="I10" s="47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46">
        <v>45416</v>
      </c>
      <c r="H11" s="44">
        <v>65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>
        <v>45419</v>
      </c>
      <c r="H12" s="44">
        <v>58</v>
      </c>
      <c r="I12" s="47" t="str">
        <f t="shared" si="0"/>
        <v>75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>
        <v>45421</v>
      </c>
      <c r="H13" s="44">
        <v>58</v>
      </c>
      <c r="I13" s="47" t="str">
        <f t="shared" si="0"/>
        <v>77 days</v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43" t="s">
        <v>90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46">
        <v>45345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53" t="s">
        <v>254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45404</v>
      </c>
      <c r="H19" s="44">
        <v>60</v>
      </c>
      <c r="I19" s="47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45408</v>
      </c>
      <c r="H20" s="44">
        <v>57</v>
      </c>
      <c r="I20" s="47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/>
      <c r="H21" s="44"/>
      <c r="I21" s="47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32"/>
      <c r="H22" s="44"/>
      <c r="I22" s="47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/>
      <c r="J23" s="34"/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/>
      <c r="J24" s="34"/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/>
      <c r="J25" s="34"/>
      <c r="K25" s="15"/>
      <c r="L25" s="15"/>
      <c r="M25" s="15"/>
      <c r="N25" s="33"/>
    </row>
    <row r="26" spans="1:14" x14ac:dyDescent="0.3">
      <c r="A26" s="68"/>
      <c r="B26" s="40">
        <v>22</v>
      </c>
      <c r="C26" s="69"/>
      <c r="D26" s="70"/>
      <c r="E26" s="71"/>
      <c r="F26" s="72"/>
      <c r="G26" s="73"/>
      <c r="H26" s="74"/>
      <c r="I26" s="75"/>
      <c r="J26" s="73"/>
      <c r="K26" s="68"/>
      <c r="L26" s="68"/>
      <c r="M26" s="68"/>
      <c r="N26" s="76"/>
    </row>
    <row r="27" spans="1:14" x14ac:dyDescent="0.3">
      <c r="A27" s="68"/>
      <c r="B27" s="40">
        <v>23</v>
      </c>
      <c r="C27" s="69"/>
      <c r="D27" s="70"/>
      <c r="E27" s="71"/>
      <c r="F27" s="72"/>
      <c r="G27" s="73"/>
      <c r="H27" s="74"/>
      <c r="I27" s="75"/>
      <c r="J27" s="73"/>
      <c r="K27" s="68"/>
      <c r="L27" s="68"/>
      <c r="M27" s="68"/>
      <c r="N27" s="76"/>
    </row>
    <row r="28" spans="1:14" x14ac:dyDescent="0.3">
      <c r="A28" s="68"/>
      <c r="B28" s="40">
        <v>24</v>
      </c>
      <c r="C28" s="69"/>
      <c r="D28" s="70"/>
      <c r="E28" s="71"/>
      <c r="F28" s="72"/>
      <c r="G28" s="73"/>
      <c r="H28" s="74"/>
      <c r="I28" s="75"/>
      <c r="J28" s="73"/>
      <c r="K28" s="68"/>
      <c r="L28" s="68"/>
      <c r="M28" s="68"/>
      <c r="N28" s="76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73"/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180">
        <v>150000</v>
      </c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301</v>
      </c>
      <c r="F33" s="57">
        <f>H33*G33</f>
        <v>210148</v>
      </c>
      <c r="G33" s="57">
        <v>107</v>
      </c>
      <c r="H33" s="65">
        <v>1964</v>
      </c>
      <c r="I33" s="60">
        <v>220</v>
      </c>
      <c r="J33" s="137">
        <f>H33*I33</f>
        <v>432080</v>
      </c>
      <c r="K33" s="137"/>
      <c r="L33" s="6"/>
    </row>
    <row r="34" spans="4:13" x14ac:dyDescent="0.3">
      <c r="E34" s="15" t="s">
        <v>56</v>
      </c>
      <c r="F34" s="57">
        <f t="shared" ref="F34:F39" si="1">H34*G34</f>
        <v>165200</v>
      </c>
      <c r="G34" s="57">
        <v>80</v>
      </c>
      <c r="H34" s="65">
        <v>2065</v>
      </c>
      <c r="I34" s="60">
        <v>220</v>
      </c>
      <c r="J34" s="137">
        <f t="shared" ref="J34:J37" si="2">H34*I34</f>
        <v>454300</v>
      </c>
      <c r="K34" s="137"/>
      <c r="L34" s="6"/>
    </row>
    <row r="35" spans="4:13" x14ac:dyDescent="0.3">
      <c r="E35" s="15" t="s">
        <v>57</v>
      </c>
      <c r="F35" s="57">
        <f t="shared" si="1"/>
        <v>56640</v>
      </c>
      <c r="G35" s="57">
        <v>60</v>
      </c>
      <c r="H35" s="65">
        <v>944</v>
      </c>
      <c r="I35" s="60">
        <v>270</v>
      </c>
      <c r="J35" s="137">
        <f t="shared" si="2"/>
        <v>254880</v>
      </c>
      <c r="K35" s="137"/>
      <c r="L35" s="6"/>
    </row>
    <row r="36" spans="4:13" x14ac:dyDescent="0.3">
      <c r="E36" s="15" t="s">
        <v>302</v>
      </c>
      <c r="F36" s="57">
        <f t="shared" si="1"/>
        <v>151480</v>
      </c>
      <c r="G36" s="57">
        <v>70</v>
      </c>
      <c r="H36" s="65">
        <v>2164</v>
      </c>
      <c r="I36" s="60">
        <v>250</v>
      </c>
      <c r="J36" s="137">
        <f t="shared" si="2"/>
        <v>541000</v>
      </c>
      <c r="K36" s="137"/>
      <c r="L36" s="6"/>
    </row>
    <row r="37" spans="4:13" x14ac:dyDescent="0.3">
      <c r="E37" s="15" t="s">
        <v>58</v>
      </c>
      <c r="F37" s="57">
        <f t="shared" si="1"/>
        <v>224400</v>
      </c>
      <c r="G37" s="57">
        <v>60</v>
      </c>
      <c r="H37" s="65">
        <v>3740</v>
      </c>
      <c r="I37" s="60">
        <v>270</v>
      </c>
      <c r="J37" s="137">
        <f t="shared" si="2"/>
        <v>1009800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ref="J38:J39" si="3">H38*I38</f>
        <v>0</v>
      </c>
      <c r="K38" s="137"/>
      <c r="L38" s="6"/>
    </row>
    <row r="39" spans="4:13" x14ac:dyDescent="0.3">
      <c r="E39" s="15"/>
      <c r="F39" s="57">
        <f t="shared" si="1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807868</v>
      </c>
      <c r="G40" s="58"/>
      <c r="H40" s="58">
        <f>SUM(H33:H39)</f>
        <v>10877</v>
      </c>
      <c r="I40" s="50"/>
      <c r="J40" s="138">
        <f>SUM(J33:J39)</f>
        <v>2692060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115.41%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2692060</v>
      </c>
    </row>
    <row r="43" spans="4:13" x14ac:dyDescent="0.3">
      <c r="K43" s="14"/>
    </row>
    <row r="44" spans="4:13" x14ac:dyDescent="0.3">
      <c r="D44" s="39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22">
    <cfRule type="duplicateValues" dxfId="52" priority="20"/>
  </conditionalFormatting>
  <conditionalFormatting sqref="M5:M22">
    <cfRule type="duplicateValues" dxfId="51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13" activePane="bottomRight" state="frozen"/>
      <selection pane="topRight" activeCell="M1" sqref="M1"/>
      <selection pane="bottomLeft" activeCell="A5" sqref="A5"/>
      <selection pane="bottomRight" activeCell="H36" sqref="H36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11.4414062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181</v>
      </c>
      <c r="C1" s="157"/>
      <c r="D1" s="157"/>
      <c r="E1" s="157"/>
      <c r="F1" s="158"/>
      <c r="G1" s="16" t="s">
        <v>25</v>
      </c>
      <c r="H1" s="146">
        <v>45477</v>
      </c>
      <c r="I1" s="147"/>
      <c r="J1" s="17" t="s">
        <v>15</v>
      </c>
      <c r="K1" s="159">
        <f>M2-E2</f>
        <v>391120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1221202</v>
      </c>
      <c r="F2" s="20"/>
      <c r="G2" s="31" t="s">
        <v>32</v>
      </c>
      <c r="H2" s="148" t="s">
        <v>255</v>
      </c>
      <c r="I2" s="163"/>
      <c r="J2" s="37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45446</v>
      </c>
      <c r="D5" s="26" t="s">
        <v>72</v>
      </c>
      <c r="E5" s="9">
        <v>40000</v>
      </c>
      <c r="F5" s="23"/>
      <c r="G5" s="43">
        <v>45527</v>
      </c>
      <c r="H5" s="44">
        <v>110</v>
      </c>
      <c r="I5" s="47" t="str">
        <f>IF(ISBLANK(G5),"",CONCATENATE(G5-$H$1+1," days"))</f>
        <v>51 days</v>
      </c>
      <c r="J5" s="21">
        <v>1</v>
      </c>
      <c r="K5" s="4">
        <v>45534</v>
      </c>
      <c r="L5" s="3" t="s">
        <v>76</v>
      </c>
      <c r="M5" s="5">
        <v>1334590</v>
      </c>
      <c r="N5" s="22"/>
    </row>
    <row r="6" spans="1:14" x14ac:dyDescent="0.3">
      <c r="A6" s="15"/>
      <c r="B6" s="40">
        <v>2</v>
      </c>
      <c r="C6" s="7">
        <v>45477</v>
      </c>
      <c r="D6" s="8" t="s">
        <v>19</v>
      </c>
      <c r="E6" s="9">
        <v>262500</v>
      </c>
      <c r="F6" s="23" t="s">
        <v>157</v>
      </c>
      <c r="G6" s="43">
        <v>45534</v>
      </c>
      <c r="H6" s="44">
        <v>111</v>
      </c>
      <c r="I6" s="47" t="str">
        <f>IF(ISBLANK(G6),"",CONCATENATE(G6-$H$1+1," days"))</f>
        <v>58 days</v>
      </c>
      <c r="J6" s="21">
        <v>2</v>
      </c>
      <c r="K6" s="4">
        <v>45543</v>
      </c>
      <c r="L6" s="3" t="s">
        <v>85</v>
      </c>
      <c r="M6" s="5">
        <v>277732</v>
      </c>
      <c r="N6" s="22"/>
    </row>
    <row r="7" spans="1:14" x14ac:dyDescent="0.3">
      <c r="A7" s="15"/>
      <c r="B7" s="40">
        <v>3</v>
      </c>
      <c r="C7" s="7">
        <v>45477</v>
      </c>
      <c r="D7" s="8" t="s">
        <v>74</v>
      </c>
      <c r="E7" s="9">
        <v>12000</v>
      </c>
      <c r="F7" s="9"/>
      <c r="G7" s="23"/>
      <c r="H7" s="44"/>
      <c r="I7" s="47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0">
        <v>4</v>
      </c>
      <c r="C8" s="25">
        <v>45474</v>
      </c>
      <c r="D8" s="8" t="s">
        <v>73</v>
      </c>
      <c r="E8" s="9">
        <v>30000</v>
      </c>
      <c r="F8" s="22"/>
      <c r="G8" s="43"/>
      <c r="H8" s="44"/>
      <c r="I8" s="47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45537</v>
      </c>
      <c r="D9" s="3" t="s">
        <v>80</v>
      </c>
      <c r="E9" s="5">
        <v>623857</v>
      </c>
      <c r="F9" s="22" t="s">
        <v>79</v>
      </c>
      <c r="G9" s="46"/>
      <c r="H9" s="44"/>
      <c r="I9" s="47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45550</v>
      </c>
      <c r="D10" s="3" t="s">
        <v>81</v>
      </c>
      <c r="E10" s="5">
        <v>133202</v>
      </c>
      <c r="F10" s="22"/>
      <c r="G10" s="46"/>
      <c r="H10" s="44"/>
      <c r="I10" s="47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45534</v>
      </c>
      <c r="D11" s="3" t="s">
        <v>84</v>
      </c>
      <c r="E11" s="5">
        <v>100000</v>
      </c>
      <c r="F11" s="22"/>
      <c r="G11" s="46"/>
      <c r="H11" s="44"/>
      <c r="I11" s="47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45550</v>
      </c>
      <c r="D12" s="3" t="s">
        <v>92</v>
      </c>
      <c r="E12" s="5">
        <v>19643</v>
      </c>
      <c r="F12" s="55"/>
      <c r="G12" s="46"/>
      <c r="H12" s="44"/>
      <c r="I12" s="47" t="str">
        <f>IF(ISBLANK(G12),"",CONCATENATE("(",G12-$H$1+1," days)"))</f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 t="s">
        <v>94</v>
      </c>
      <c r="E13" s="5"/>
      <c r="F13" s="55"/>
      <c r="G13" s="46"/>
      <c r="H13" s="44"/>
      <c r="I13" s="47" t="str">
        <f>IF(ISBLANK(G13),"",CONCATENATE("(",G13-$H$1+1," days)"))</f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60"/>
      <c r="E14" s="5"/>
      <c r="F14" s="67"/>
      <c r="G14" s="143" t="s">
        <v>90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60"/>
      <c r="E15" s="5"/>
      <c r="F15" s="22"/>
      <c r="G15" s="16" t="s">
        <v>25</v>
      </c>
      <c r="H15" s="146">
        <v>45477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60"/>
      <c r="E16" s="5"/>
      <c r="F16" s="22"/>
      <c r="G16" s="31" t="s">
        <v>32</v>
      </c>
      <c r="H16" s="53" t="s">
        <v>256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60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60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60"/>
      <c r="E19" s="5"/>
      <c r="F19" s="22"/>
      <c r="G19" s="43">
        <v>45527</v>
      </c>
      <c r="H19" s="44">
        <v>106</v>
      </c>
      <c r="I19" s="47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60"/>
      <c r="E20" s="5"/>
      <c r="F20" s="22"/>
      <c r="G20" s="43">
        <v>45534</v>
      </c>
      <c r="H20" s="44">
        <v>96</v>
      </c>
      <c r="I20" s="47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60"/>
      <c r="E21" s="5"/>
      <c r="F21" s="22"/>
      <c r="G21" s="43">
        <v>45541</v>
      </c>
      <c r="H21" s="44">
        <v>91</v>
      </c>
      <c r="I21" s="47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60"/>
      <c r="E22" s="5"/>
      <c r="F22" s="22"/>
      <c r="G22" s="46">
        <v>45543</v>
      </c>
      <c r="H22" s="44">
        <v>92</v>
      </c>
      <c r="I22" s="47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60"/>
      <c r="E23" s="5"/>
      <c r="F23" s="22"/>
      <c r="G23" s="34"/>
      <c r="H23" s="44"/>
      <c r="I23" s="47"/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60"/>
      <c r="E24" s="5"/>
      <c r="F24" s="22"/>
      <c r="G24" s="34"/>
      <c r="H24" s="44"/>
      <c r="I24" s="47"/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60"/>
      <c r="E25" s="5"/>
      <c r="F25" s="22"/>
      <c r="G25" s="34"/>
      <c r="H25" s="44"/>
      <c r="I25" s="47"/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60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60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94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ht="15" thickBot="1" x14ac:dyDescent="0.35">
      <c r="A29" s="68"/>
      <c r="B29" s="40">
        <v>25</v>
      </c>
      <c r="C29" s="69"/>
      <c r="D29" s="95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.6" thickTop="1" thickBot="1" x14ac:dyDescent="0.35">
      <c r="A30" s="38"/>
      <c r="B30" s="77"/>
      <c r="C30" s="27"/>
      <c r="D30" s="29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84">
        <v>750000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75</v>
      </c>
      <c r="F33" s="57">
        <f>H33*G33</f>
        <v>591607.80000000005</v>
      </c>
      <c r="G33" s="57">
        <v>111</v>
      </c>
      <c r="H33" s="65">
        <v>5329.8</v>
      </c>
      <c r="I33" s="60">
        <v>249</v>
      </c>
      <c r="J33" s="137">
        <f>H33*I33</f>
        <v>1327120.2</v>
      </c>
      <c r="K33" s="137"/>
      <c r="L33" s="83" t="s">
        <v>86</v>
      </c>
      <c r="M33" s="60">
        <v>600000</v>
      </c>
    </row>
    <row r="34" spans="1:13" x14ac:dyDescent="0.3">
      <c r="E34" s="15" t="s">
        <v>82</v>
      </c>
      <c r="F34" s="57">
        <f t="shared" ref="F34:F39" si="2">H34*G34</f>
        <v>6660</v>
      </c>
      <c r="G34" s="57">
        <v>111</v>
      </c>
      <c r="H34" s="65">
        <v>60</v>
      </c>
      <c r="I34" s="60">
        <v>124.5</v>
      </c>
      <c r="J34" s="137">
        <f t="shared" ref="J34:J39" si="3">H34*I34</f>
        <v>7470</v>
      </c>
      <c r="K34" s="137"/>
      <c r="L34" s="83" t="s">
        <v>87</v>
      </c>
      <c r="M34" s="60">
        <v>250000</v>
      </c>
    </row>
    <row r="35" spans="1:13" x14ac:dyDescent="0.3">
      <c r="E35" s="15" t="s">
        <v>83</v>
      </c>
      <c r="F35" s="57">
        <f t="shared" si="2"/>
        <v>98274.400000000009</v>
      </c>
      <c r="G35" s="57">
        <v>92</v>
      </c>
      <c r="H35" s="65">
        <v>1068.2</v>
      </c>
      <c r="I35" s="60">
        <v>250</v>
      </c>
      <c r="J35" s="137">
        <f t="shared" si="3"/>
        <v>267050</v>
      </c>
      <c r="K35" s="137"/>
      <c r="L35" s="83" t="s">
        <v>87</v>
      </c>
      <c r="M35" s="60">
        <v>50000</v>
      </c>
    </row>
    <row r="36" spans="1:13" x14ac:dyDescent="0.3">
      <c r="E36" s="15"/>
      <c r="F36" s="57">
        <f t="shared" si="2"/>
        <v>0</v>
      </c>
      <c r="G36" s="57"/>
      <c r="H36" s="65">
        <v>1068.2</v>
      </c>
      <c r="I36" s="60">
        <v>10</v>
      </c>
      <c r="J36" s="138">
        <f t="shared" si="3"/>
        <v>10682</v>
      </c>
      <c r="K36" s="138"/>
      <c r="L36" s="83" t="s">
        <v>69</v>
      </c>
      <c r="M36" s="60">
        <v>568000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93</v>
      </c>
      <c r="M37" s="60">
        <v>133202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10000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696542.20000000007</v>
      </c>
      <c r="G40" s="58"/>
      <c r="H40" s="82">
        <f>SUM(H33:H39)</f>
        <v>7526.2</v>
      </c>
      <c r="I40" s="50"/>
      <c r="J40" s="138">
        <f>SUM(J33:J39)</f>
        <v>1612322.2</v>
      </c>
      <c r="K40" s="138"/>
      <c r="L40" s="83"/>
      <c r="M40" s="60"/>
    </row>
    <row r="41" spans="1:13" x14ac:dyDescent="0.3">
      <c r="E41" s="50" t="s">
        <v>126</v>
      </c>
      <c r="F41" s="105" t="str">
        <f>CONCATENATE(ROUND((F40/F31)*100,2),"%")</f>
        <v>92.87%</v>
      </c>
      <c r="G41" s="15"/>
      <c r="H41" s="56"/>
      <c r="I41" s="15"/>
      <c r="J41" s="83"/>
      <c r="K41" s="83"/>
      <c r="L41" s="50" t="s">
        <v>88</v>
      </c>
      <c r="M41" s="5">
        <f>SUM(M33:M40)</f>
        <v>1611202</v>
      </c>
    </row>
    <row r="42" spans="1:13" ht="15" thickBot="1" x14ac:dyDescent="0.35">
      <c r="A42" s="78"/>
      <c r="B42" s="79"/>
      <c r="C42" s="79"/>
      <c r="D42" s="78"/>
      <c r="E42" s="78"/>
      <c r="F42" s="78"/>
      <c r="G42" s="78"/>
      <c r="H42" s="78"/>
      <c r="I42" s="78"/>
      <c r="J42" s="78"/>
      <c r="K42" s="81" t="s">
        <v>89</v>
      </c>
      <c r="L42" s="80">
        <f>J40-M41</f>
        <v>1120.1999999999534</v>
      </c>
    </row>
    <row r="43" spans="1:13" x14ac:dyDescent="0.3">
      <c r="A43" s="170" t="s">
        <v>77</v>
      </c>
      <c r="B43" s="170"/>
      <c r="C43" s="170"/>
      <c r="F43" s="170" t="s">
        <v>78</v>
      </c>
      <c r="G43" s="170"/>
      <c r="H43" s="170"/>
      <c r="K43" s="14"/>
    </row>
    <row r="44" spans="1:13" x14ac:dyDescent="0.3">
      <c r="D44" s="39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0" priority="1" operator="greaterThan">
      <formula>0</formula>
    </cfRule>
    <cfRule type="cellIs" dxfId="49" priority="2" operator="lessThan">
      <formula>0</formula>
    </cfRule>
  </conditionalFormatting>
  <conditionalFormatting sqref="L5:L22">
    <cfRule type="duplicateValues" dxfId="48" priority="3"/>
  </conditionalFormatting>
  <conditionalFormatting sqref="M5:M22">
    <cfRule type="duplicateValues" dxfId="4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6"/>
  <sheetViews>
    <sheetView zoomScaleNormal="100" workbookViewId="0">
      <pane ySplit="1" topLeftCell="A2" activePane="bottomLeft" state="frozen"/>
      <selection pane="bottomLeft" activeCell="F38" sqref="F38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10.5546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182</v>
      </c>
      <c r="C1" s="157"/>
      <c r="D1" s="157"/>
      <c r="E1" s="157"/>
      <c r="F1" s="158"/>
      <c r="G1" s="16" t="s">
        <v>25</v>
      </c>
      <c r="H1" s="146">
        <v>45548</v>
      </c>
      <c r="I1" s="147"/>
      <c r="J1" s="17" t="s">
        <v>15</v>
      </c>
      <c r="K1" s="159">
        <f>M2-E2</f>
        <v>1002304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1412799</v>
      </c>
      <c r="F2" s="20"/>
      <c r="G2" s="31" t="s">
        <v>32</v>
      </c>
      <c r="H2" s="148" t="s">
        <v>203</v>
      </c>
      <c r="I2" s="163"/>
      <c r="J2" s="37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45548</v>
      </c>
      <c r="D5" s="26" t="s">
        <v>19</v>
      </c>
      <c r="E5" s="9">
        <v>210000</v>
      </c>
      <c r="F5" s="23" t="s">
        <v>91</v>
      </c>
      <c r="G5" s="43">
        <v>45599</v>
      </c>
      <c r="H5" s="44">
        <v>96</v>
      </c>
      <c r="I5" s="47" t="str">
        <f>IF(ISBLANK(G5),"",CONCATENATE(G5-$H$1+1," days"))</f>
        <v>52 days</v>
      </c>
      <c r="J5" s="21">
        <v>1</v>
      </c>
      <c r="K5" s="4">
        <v>45609</v>
      </c>
      <c r="L5" s="3" t="s">
        <v>109</v>
      </c>
      <c r="M5" s="5">
        <v>558927</v>
      </c>
      <c r="N5" s="22"/>
    </row>
    <row r="6" spans="1:14" x14ac:dyDescent="0.3">
      <c r="A6" s="15"/>
      <c r="B6" s="40">
        <v>2</v>
      </c>
      <c r="C6" s="7">
        <v>45548</v>
      </c>
      <c r="D6" s="8" t="s">
        <v>74</v>
      </c>
      <c r="E6" s="9">
        <v>30000</v>
      </c>
      <c r="F6" s="23"/>
      <c r="G6" s="43">
        <v>45602</v>
      </c>
      <c r="H6" s="44">
        <v>91</v>
      </c>
      <c r="I6" s="47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119</v>
      </c>
      <c r="M6" s="5">
        <v>1478368</v>
      </c>
      <c r="N6" s="22"/>
    </row>
    <row r="7" spans="1:14" x14ac:dyDescent="0.3">
      <c r="A7" s="15"/>
      <c r="B7" s="40">
        <v>3</v>
      </c>
      <c r="C7" s="7">
        <v>45561</v>
      </c>
      <c r="D7" s="8" t="s">
        <v>104</v>
      </c>
      <c r="E7" s="9">
        <v>35000</v>
      </c>
      <c r="F7" s="23" t="s">
        <v>91</v>
      </c>
      <c r="G7" s="98">
        <v>45606</v>
      </c>
      <c r="H7" s="44">
        <v>84</v>
      </c>
      <c r="I7" s="47" t="str">
        <f t="shared" si="0"/>
        <v>59 days</v>
      </c>
      <c r="J7" s="21">
        <v>3</v>
      </c>
      <c r="K7" s="4">
        <v>45633</v>
      </c>
      <c r="L7" s="3" t="s">
        <v>128</v>
      </c>
      <c r="M7" s="5">
        <v>377808</v>
      </c>
      <c r="N7" s="22"/>
    </row>
    <row r="8" spans="1:14" x14ac:dyDescent="0.3">
      <c r="A8" s="15"/>
      <c r="B8" s="40">
        <v>4</v>
      </c>
      <c r="C8" s="7">
        <v>45561</v>
      </c>
      <c r="D8" s="8" t="s">
        <v>106</v>
      </c>
      <c r="E8" s="9">
        <v>3500</v>
      </c>
      <c r="F8" s="22"/>
      <c r="G8" s="43">
        <v>45608</v>
      </c>
      <c r="H8" s="44">
        <v>81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45520</v>
      </c>
      <c r="D9" s="3" t="s">
        <v>29</v>
      </c>
      <c r="E9" s="5">
        <v>22303</v>
      </c>
      <c r="F9" s="22"/>
      <c r="G9" s="46">
        <v>45609</v>
      </c>
      <c r="H9" s="44">
        <v>79</v>
      </c>
      <c r="I9" s="47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45551</v>
      </c>
      <c r="D10" s="3" t="s">
        <v>29</v>
      </c>
      <c r="E10" s="5">
        <v>17625</v>
      </c>
      <c r="F10" s="22"/>
      <c r="G10" s="46">
        <v>45614</v>
      </c>
      <c r="H10" s="44">
        <v>65</v>
      </c>
      <c r="I10" s="47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45599</v>
      </c>
      <c r="D11" s="3" t="s">
        <v>107</v>
      </c>
      <c r="E11" s="5">
        <v>1200</v>
      </c>
      <c r="F11" s="22"/>
      <c r="G11" s="46">
        <v>45619</v>
      </c>
      <c r="H11" s="44">
        <v>70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45609</v>
      </c>
      <c r="D12" s="3" t="s">
        <v>142</v>
      </c>
      <c r="E12" s="5">
        <v>5600</v>
      </c>
      <c r="F12" s="55"/>
      <c r="G12" s="46">
        <v>45620</v>
      </c>
      <c r="H12" s="44">
        <v>65</v>
      </c>
      <c r="I12" s="47" t="str">
        <f t="shared" si="0"/>
        <v>73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>
        <v>45620</v>
      </c>
      <c r="D13" s="3" t="s">
        <v>114</v>
      </c>
      <c r="E13" s="5">
        <v>893146</v>
      </c>
      <c r="F13" s="55"/>
      <c r="G13" s="46"/>
      <c r="H13" s="44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>
        <v>45620</v>
      </c>
      <c r="D14" s="3" t="s">
        <v>141</v>
      </c>
      <c r="E14" s="5">
        <v>17400</v>
      </c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46">
        <v>45561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>
        <v>45634</v>
      </c>
      <c r="D16" s="3" t="s">
        <v>139</v>
      </c>
      <c r="E16" s="5">
        <v>27000</v>
      </c>
      <c r="F16" s="22"/>
      <c r="G16" s="31" t="s">
        <v>32</v>
      </c>
      <c r="H16" s="148" t="s">
        <v>203</v>
      </c>
      <c r="I16" s="14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>
        <v>45634</v>
      </c>
      <c r="D17" s="3" t="s">
        <v>140</v>
      </c>
      <c r="E17" s="5">
        <v>45000</v>
      </c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 t="s">
        <v>138</v>
      </c>
      <c r="G19" s="43">
        <v>45602</v>
      </c>
      <c r="H19" s="44">
        <v>130</v>
      </c>
      <c r="I19" s="47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45608</v>
      </c>
      <c r="H20" s="44">
        <v>99</v>
      </c>
      <c r="I20" s="47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45614</v>
      </c>
      <c r="H21" s="44">
        <v>80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45619</v>
      </c>
      <c r="H22" s="44">
        <v>71</v>
      </c>
      <c r="I22" s="47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45624</v>
      </c>
      <c r="H23" s="44">
        <v>61</v>
      </c>
      <c r="I23" s="47" t="str">
        <f t="shared" si="1"/>
        <v>64 days</v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46">
        <v>45631</v>
      </c>
      <c r="H24" s="44">
        <v>60</v>
      </c>
      <c r="I24" s="47" t="str">
        <f>IF(ISBLANK(G24),"",CONCATENATE(G24-$H$15+1," days"))</f>
        <v>71 days</v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46">
        <v>45633</v>
      </c>
      <c r="H25" s="44">
        <v>56</v>
      </c>
      <c r="I25" s="47" t="str">
        <f t="shared" si="1"/>
        <v>73 days</v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 t="str">
        <f t="shared" si="1"/>
        <v/>
      </c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700000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4" x14ac:dyDescent="0.3">
      <c r="E33" s="15" t="s">
        <v>55</v>
      </c>
      <c r="F33" s="57">
        <f>H33*G33</f>
        <v>163537.9</v>
      </c>
      <c r="G33" s="57">
        <v>79</v>
      </c>
      <c r="H33" s="65">
        <v>2070.1</v>
      </c>
      <c r="I33" s="60">
        <v>270</v>
      </c>
      <c r="J33" s="137">
        <f>H33*I33</f>
        <v>558927</v>
      </c>
      <c r="K33" s="137"/>
      <c r="L33" s="83" t="s">
        <v>127</v>
      </c>
      <c r="M33" s="60">
        <v>200000</v>
      </c>
    </row>
    <row r="34" spans="1:14" x14ac:dyDescent="0.3">
      <c r="E34" s="15" t="s">
        <v>113</v>
      </c>
      <c r="F34" s="57">
        <f t="shared" ref="F34:F39" si="2">H34*G34</f>
        <v>300293.5</v>
      </c>
      <c r="G34" s="57">
        <v>65</v>
      </c>
      <c r="H34" s="65">
        <v>4619.8999999999996</v>
      </c>
      <c r="I34" s="60">
        <v>320</v>
      </c>
      <c r="J34" s="137">
        <f t="shared" ref="J34:J39" si="3">H34*I34</f>
        <v>1478368</v>
      </c>
      <c r="K34" s="137"/>
      <c r="L34" s="6" t="s">
        <v>68</v>
      </c>
      <c r="M34" s="60">
        <v>200000</v>
      </c>
    </row>
    <row r="35" spans="1:14" x14ac:dyDescent="0.3">
      <c r="E35" s="15" t="s">
        <v>57</v>
      </c>
      <c r="F35" s="57">
        <f t="shared" si="2"/>
        <v>62227.200000000004</v>
      </c>
      <c r="G35" s="57">
        <v>56</v>
      </c>
      <c r="H35" s="65">
        <v>1111.2</v>
      </c>
      <c r="I35" s="60">
        <v>340</v>
      </c>
      <c r="J35" s="137">
        <f t="shared" si="3"/>
        <v>377808</v>
      </c>
      <c r="K35" s="137"/>
      <c r="L35" s="83" t="s">
        <v>69</v>
      </c>
      <c r="M35" s="60">
        <v>158927</v>
      </c>
    </row>
    <row r="36" spans="1:14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86</v>
      </c>
      <c r="M36" s="60">
        <v>900000</v>
      </c>
    </row>
    <row r="37" spans="1:14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200000</v>
      </c>
    </row>
    <row r="38" spans="1:14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300000</v>
      </c>
      <c r="N38" s="1" t="s">
        <v>138</v>
      </c>
    </row>
    <row r="39" spans="1:14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 t="s">
        <v>49</v>
      </c>
      <c r="M39" s="60">
        <v>82270</v>
      </c>
    </row>
    <row r="40" spans="1:14" x14ac:dyDescent="0.3">
      <c r="E40" s="50" t="s">
        <v>61</v>
      </c>
      <c r="F40" s="58">
        <f>SUM(F33:F38)</f>
        <v>526058.6</v>
      </c>
      <c r="G40" s="58"/>
      <c r="H40" s="82">
        <f>SUM(H33:H39)</f>
        <v>7801.2</v>
      </c>
      <c r="I40" s="50"/>
      <c r="J40" s="138">
        <f>SUM(J33:J39)</f>
        <v>2415103</v>
      </c>
      <c r="K40" s="138"/>
      <c r="L40" s="50" t="s">
        <v>88</v>
      </c>
      <c r="M40" s="5">
        <f>SUM(M33:M39)</f>
        <v>2041197</v>
      </c>
    </row>
    <row r="41" spans="1:14" ht="15" thickBot="1" x14ac:dyDescent="0.35">
      <c r="E41" s="50" t="s">
        <v>126</v>
      </c>
      <c r="F41" s="105" t="str">
        <f>CONCATENATE(ROUND((F40/F31)*100,2),"%")</f>
        <v>75.15%</v>
      </c>
      <c r="G41" s="15"/>
      <c r="H41" s="56"/>
      <c r="I41" s="15"/>
      <c r="J41" s="83"/>
      <c r="K41" s="83"/>
      <c r="L41" s="81" t="s">
        <v>89</v>
      </c>
      <c r="M41" s="110">
        <f>J40-M40</f>
        <v>373906</v>
      </c>
    </row>
    <row r="42" spans="1:14" x14ac:dyDescent="0.3">
      <c r="D42" s="39"/>
      <c r="L42" s="66"/>
      <c r="M42" s="39"/>
    </row>
    <row r="43" spans="1:14" x14ac:dyDescent="0.3">
      <c r="A43" s="142" t="s">
        <v>108</v>
      </c>
      <c r="B43" s="142"/>
      <c r="C43" s="142"/>
      <c r="D43" s="60"/>
      <c r="E43" s="15"/>
      <c r="F43" s="15"/>
      <c r="G43" s="15" t="e">
        <f>F43/E43</f>
        <v>#DIV/0!</v>
      </c>
      <c r="H43" s="97" t="e">
        <f>G43*D43</f>
        <v>#DIV/0!</v>
      </c>
      <c r="I43" s="15"/>
      <c r="J43" s="15"/>
      <c r="K43" s="5"/>
      <c r="L43" s="15"/>
      <c r="M43" s="15"/>
    </row>
    <row r="44" spans="1:14" x14ac:dyDescent="0.3">
      <c r="C44" s="6" t="s">
        <v>55</v>
      </c>
      <c r="D44" s="39"/>
      <c r="F44" s="6" t="s">
        <v>116</v>
      </c>
      <c r="I44" s="1" t="s">
        <v>143</v>
      </c>
    </row>
    <row r="45" spans="1:14" x14ac:dyDescent="0.3">
      <c r="B45"/>
      <c r="E45"/>
      <c r="H45"/>
      <c r="K45" s="14"/>
    </row>
    <row r="46" spans="1:14" x14ac:dyDescent="0.3">
      <c r="B46"/>
    </row>
    <row r="47" spans="1:14" x14ac:dyDescent="0.3">
      <c r="K47" s="26"/>
      <c r="L47" s="56" t="s">
        <v>68</v>
      </c>
      <c r="M47" s="60">
        <v>200000</v>
      </c>
    </row>
    <row r="48" spans="1:14" x14ac:dyDescent="0.3">
      <c r="H48" s="26"/>
      <c r="L48" s="56" t="s">
        <v>144</v>
      </c>
      <c r="M48" s="60">
        <v>400000</v>
      </c>
    </row>
    <row r="49" spans="7:13" x14ac:dyDescent="0.3">
      <c r="K49" s="39"/>
      <c r="L49" s="56" t="s">
        <v>145</v>
      </c>
      <c r="M49" s="60">
        <v>300000</v>
      </c>
    </row>
    <row r="50" spans="7:13" x14ac:dyDescent="0.3">
      <c r="L50" s="56" t="s">
        <v>146</v>
      </c>
      <c r="M50" s="60">
        <v>40000</v>
      </c>
    </row>
    <row r="51" spans="7:13" x14ac:dyDescent="0.3">
      <c r="L51" s="56" t="s">
        <v>147</v>
      </c>
      <c r="M51" s="60">
        <v>38000</v>
      </c>
    </row>
    <row r="52" spans="7:13" x14ac:dyDescent="0.3">
      <c r="L52" s="56" t="s">
        <v>148</v>
      </c>
      <c r="M52" s="60">
        <v>15000</v>
      </c>
    </row>
    <row r="53" spans="7:13" x14ac:dyDescent="0.3">
      <c r="L53" s="56"/>
      <c r="M53" s="60"/>
    </row>
    <row r="54" spans="7:13" x14ac:dyDescent="0.3">
      <c r="G54" s="39"/>
      <c r="L54" s="56"/>
      <c r="M54" s="60"/>
    </row>
    <row r="55" spans="7:13" x14ac:dyDescent="0.3">
      <c r="G55" s="39"/>
      <c r="L55" s="111" t="s">
        <v>61</v>
      </c>
      <c r="M55" s="14">
        <f>SUM(M47:M54)</f>
        <v>993000</v>
      </c>
    </row>
    <row r="56" spans="7:13" x14ac:dyDescent="0.3">
      <c r="G56" s="14"/>
    </row>
    <row r="66" spans="6:6" x14ac:dyDescent="0.3">
      <c r="F66" s="39"/>
    </row>
  </sheetData>
  <mergeCells count="13">
    <mergeCell ref="G14:I14"/>
    <mergeCell ref="H15:I15"/>
    <mergeCell ref="G17:I17"/>
    <mergeCell ref="H16:I16"/>
    <mergeCell ref="A43:C4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6" priority="1" operator="greaterThan">
      <formula>0</formula>
    </cfRule>
    <cfRule type="cellIs" dxfId="45" priority="2" operator="lessThan">
      <formula>0</formula>
    </cfRule>
  </conditionalFormatting>
  <conditionalFormatting sqref="L5:L22">
    <cfRule type="duplicateValues" dxfId="44" priority="3"/>
  </conditionalFormatting>
  <conditionalFormatting sqref="M5:M22">
    <cfRule type="duplicateValues" dxfId="4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B40" sqref="A40:XFD40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183</v>
      </c>
      <c r="C1" s="157"/>
      <c r="D1" s="157"/>
      <c r="E1" s="157"/>
      <c r="F1" s="158"/>
      <c r="G1" s="16" t="s">
        <v>25</v>
      </c>
      <c r="H1" s="146">
        <v>45631</v>
      </c>
      <c r="I1" s="147"/>
      <c r="J1" s="17" t="s">
        <v>15</v>
      </c>
      <c r="K1" s="159">
        <f>M2-E2</f>
        <v>528979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1502849</v>
      </c>
      <c r="F2" s="20"/>
      <c r="G2" s="31" t="s">
        <v>32</v>
      </c>
      <c r="H2" s="148" t="s">
        <v>257</v>
      </c>
      <c r="I2" s="163"/>
      <c r="J2" s="37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45631</v>
      </c>
      <c r="D5" s="26" t="s">
        <v>149</v>
      </c>
      <c r="E5" s="9">
        <v>265000</v>
      </c>
      <c r="F5" s="23" t="s">
        <v>150</v>
      </c>
      <c r="G5" s="43">
        <v>45692</v>
      </c>
      <c r="H5" s="44">
        <v>137</v>
      </c>
      <c r="I5" s="47" t="str">
        <f>IF(ISBLANK(G5),"",CONCATENATE(G5-$H$1+1," days"))</f>
        <v>62 days</v>
      </c>
      <c r="J5" s="21">
        <v>1</v>
      </c>
      <c r="K5" s="116">
        <v>45701</v>
      </c>
      <c r="L5" s="3" t="s">
        <v>154</v>
      </c>
      <c r="M5" s="5">
        <v>526628</v>
      </c>
      <c r="N5" s="22"/>
    </row>
    <row r="6" spans="1:14" x14ac:dyDescent="0.3">
      <c r="A6" s="15"/>
      <c r="B6" s="40">
        <v>2</v>
      </c>
      <c r="C6" s="7">
        <v>45631</v>
      </c>
      <c r="D6" s="8" t="s">
        <v>21</v>
      </c>
      <c r="E6" s="9">
        <v>38941</v>
      </c>
      <c r="F6" s="23"/>
      <c r="G6" s="43">
        <v>45701</v>
      </c>
      <c r="H6" s="44">
        <v>110</v>
      </c>
      <c r="I6" s="47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160</v>
      </c>
      <c r="M6" s="5">
        <v>1357200</v>
      </c>
      <c r="N6" s="22"/>
    </row>
    <row r="7" spans="1:14" x14ac:dyDescent="0.3">
      <c r="A7" s="15"/>
      <c r="B7" s="40">
        <v>3</v>
      </c>
      <c r="C7" s="7">
        <v>45677</v>
      </c>
      <c r="D7" s="8" t="s">
        <v>29</v>
      </c>
      <c r="E7" s="9">
        <v>23950</v>
      </c>
      <c r="F7" s="23"/>
      <c r="G7" s="43">
        <v>45708</v>
      </c>
      <c r="H7" s="44">
        <v>100</v>
      </c>
      <c r="I7" s="47" t="str">
        <f t="shared" si="0"/>
        <v>78 days</v>
      </c>
      <c r="J7" s="21">
        <v>3</v>
      </c>
      <c r="K7" s="4">
        <v>45717</v>
      </c>
      <c r="L7" s="3" t="s">
        <v>161</v>
      </c>
      <c r="M7" s="5">
        <v>148000</v>
      </c>
      <c r="N7" s="22"/>
    </row>
    <row r="8" spans="1:14" x14ac:dyDescent="0.3">
      <c r="A8" s="15"/>
      <c r="B8" s="40">
        <v>4</v>
      </c>
      <c r="C8" s="7">
        <v>45653</v>
      </c>
      <c r="D8" s="8" t="s">
        <v>104</v>
      </c>
      <c r="E8" s="9">
        <v>40000</v>
      </c>
      <c r="F8" s="22" t="s">
        <v>151</v>
      </c>
      <c r="G8" s="43">
        <v>45709</v>
      </c>
      <c r="H8" s="44">
        <v>97</v>
      </c>
      <c r="I8" s="47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45701</v>
      </c>
      <c r="D9" s="3" t="s">
        <v>152</v>
      </c>
      <c r="E9" s="5">
        <v>8000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45705</v>
      </c>
      <c r="D10" s="3" t="s">
        <v>29</v>
      </c>
      <c r="E10" s="5">
        <v>31958</v>
      </c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45714</v>
      </c>
      <c r="D11" s="3" t="s">
        <v>60</v>
      </c>
      <c r="E11" s="5">
        <v>1095000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/>
      <c r="H12" s="109"/>
      <c r="I12" s="47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/>
      <c r="H13" s="109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46">
        <v>45653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148" t="s">
        <v>258</v>
      </c>
      <c r="I16" s="14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45692</v>
      </c>
      <c r="H19" s="44">
        <v>240</v>
      </c>
      <c r="I19" s="47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45700</v>
      </c>
      <c r="H20" s="44">
        <v>186</v>
      </c>
      <c r="I20" s="47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45708</v>
      </c>
      <c r="H21" s="44">
        <v>142</v>
      </c>
      <c r="I21" s="47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45714</v>
      </c>
      <c r="H22" s="44">
        <v>146</v>
      </c>
      <c r="I22" s="47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45717</v>
      </c>
      <c r="H23" s="44">
        <v>140</v>
      </c>
      <c r="I23" s="47" t="str">
        <f t="shared" si="1"/>
        <v>65 days</v>
      </c>
      <c r="J23" s="21">
        <v>19</v>
      </c>
      <c r="K23" s="83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83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83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83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83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83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117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11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925000</v>
      </c>
      <c r="G31" s="90" t="s">
        <v>186</v>
      </c>
      <c r="H31" s="125">
        <v>900000</v>
      </c>
      <c r="I31" s="59" t="s">
        <v>187</v>
      </c>
      <c r="J31" s="125">
        <v>150000</v>
      </c>
      <c r="K31" s="181"/>
      <c r="L31" s="96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236445</v>
      </c>
      <c r="G33" s="57">
        <v>110</v>
      </c>
      <c r="H33" s="65">
        <v>2149.5</v>
      </c>
      <c r="I33" s="60">
        <v>245</v>
      </c>
      <c r="J33" s="137">
        <f>H33*I33</f>
        <v>526627.5</v>
      </c>
      <c r="K33" s="137"/>
      <c r="L33" s="83" t="s">
        <v>127</v>
      </c>
      <c r="M33" s="60">
        <v>200000</v>
      </c>
    </row>
    <row r="34" spans="1:13" x14ac:dyDescent="0.3">
      <c r="E34" s="15" t="s">
        <v>113</v>
      </c>
      <c r="F34" s="57">
        <f t="shared" ref="F34:F39" si="2">H34*G34</f>
        <v>506340</v>
      </c>
      <c r="G34" s="57">
        <v>97</v>
      </c>
      <c r="H34" s="65">
        <v>5220</v>
      </c>
      <c r="I34" s="60">
        <v>260</v>
      </c>
      <c r="J34" s="137">
        <f t="shared" ref="J34:J39" si="3">H34*I34</f>
        <v>1357200</v>
      </c>
      <c r="K34" s="137"/>
      <c r="L34" s="83" t="s">
        <v>127</v>
      </c>
      <c r="M34" s="60">
        <v>50000</v>
      </c>
    </row>
    <row r="35" spans="1:13" x14ac:dyDescent="0.3">
      <c r="E35" s="15" t="s">
        <v>57</v>
      </c>
      <c r="F35" s="57">
        <f t="shared" si="2"/>
        <v>99900</v>
      </c>
      <c r="G35" s="57">
        <v>135</v>
      </c>
      <c r="H35" s="65">
        <v>740</v>
      </c>
      <c r="I35" s="60">
        <v>200</v>
      </c>
      <c r="J35" s="137">
        <f t="shared" si="3"/>
        <v>148000</v>
      </c>
      <c r="K35" s="137"/>
      <c r="L35" s="83" t="s">
        <v>127</v>
      </c>
      <c r="M35" s="60">
        <v>200000</v>
      </c>
    </row>
    <row r="36" spans="1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60</v>
      </c>
      <c r="M36" s="60">
        <v>1095000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240000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274600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842685</v>
      </c>
      <c r="G40" s="58"/>
      <c r="H40" s="82">
        <f>SUM(H33:H39)</f>
        <v>8109.5</v>
      </c>
      <c r="I40" s="50"/>
      <c r="J40" s="138">
        <f>SUM(J33:J39)</f>
        <v>2031827.5</v>
      </c>
      <c r="K40" s="138"/>
      <c r="L40" s="50" t="s">
        <v>88</v>
      </c>
      <c r="M40" s="5">
        <f>SUM(M33:M39)</f>
        <v>2059600</v>
      </c>
    </row>
    <row r="41" spans="1:13" ht="15" thickBot="1" x14ac:dyDescent="0.35">
      <c r="E41" s="50" t="s">
        <v>126</v>
      </c>
      <c r="F41" s="105" t="str">
        <f>CONCATENATE(ROUND((F40/F31)*100,2),"%")</f>
        <v>91.1%</v>
      </c>
      <c r="G41" s="15"/>
      <c r="H41" s="56"/>
      <c r="I41" s="15"/>
      <c r="J41" s="83"/>
      <c r="K41" s="83"/>
      <c r="L41" s="81" t="s">
        <v>89</v>
      </c>
      <c r="M41" s="5">
        <f>J40-M40</f>
        <v>-27772.5</v>
      </c>
    </row>
    <row r="42" spans="1:13" x14ac:dyDescent="0.3">
      <c r="D42" s="39"/>
      <c r="L42" s="66"/>
      <c r="M42" s="39"/>
    </row>
    <row r="43" spans="1:13" x14ac:dyDescent="0.3">
      <c r="A43" s="142" t="s">
        <v>108</v>
      </c>
      <c r="B43" s="142"/>
      <c r="C43" s="142"/>
      <c r="D43" s="60"/>
      <c r="E43" s="15"/>
      <c r="F43" s="15"/>
      <c r="G43" s="5"/>
      <c r="H43" s="97"/>
      <c r="I43" s="15"/>
      <c r="J43" s="15"/>
      <c r="K43" s="119"/>
      <c r="L43" s="15"/>
      <c r="M43" s="15"/>
    </row>
    <row r="44" spans="1:13" x14ac:dyDescent="0.3">
      <c r="C44" s="6" t="s">
        <v>55</v>
      </c>
      <c r="D44" s="39"/>
      <c r="F44" s="59"/>
      <c r="G44" s="59" t="s">
        <v>21</v>
      </c>
      <c r="H44" s="59"/>
      <c r="I44" s="59" t="s">
        <v>19</v>
      </c>
      <c r="J44" s="59"/>
      <c r="K44" s="115" t="s">
        <v>137</v>
      </c>
    </row>
    <row r="45" spans="1:13" x14ac:dyDescent="0.3">
      <c r="B45"/>
      <c r="F45" s="90" t="s">
        <v>131</v>
      </c>
      <c r="G45" s="108">
        <v>34</v>
      </c>
      <c r="H45" s="90" t="s">
        <v>135</v>
      </c>
      <c r="I45" s="108">
        <v>2000</v>
      </c>
      <c r="J45" s="108" t="s">
        <v>136</v>
      </c>
      <c r="K45" s="120">
        <f>G47/11</f>
        <v>4867.636363636364</v>
      </c>
    </row>
    <row r="46" spans="1:13" x14ac:dyDescent="0.3">
      <c r="B46"/>
      <c r="F46" s="90" t="s">
        <v>129</v>
      </c>
      <c r="G46" s="108">
        <v>758</v>
      </c>
      <c r="H46" s="90" t="s">
        <v>130</v>
      </c>
      <c r="I46" s="59">
        <v>110000</v>
      </c>
      <c r="J46" s="59" t="s">
        <v>134</v>
      </c>
      <c r="K46" s="115">
        <v>1470</v>
      </c>
    </row>
    <row r="47" spans="1:13" x14ac:dyDescent="0.3">
      <c r="F47" s="3" t="s">
        <v>132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87</v>
      </c>
      <c r="G48" s="107">
        <f>K45*8</f>
        <v>38941.090909090912</v>
      </c>
      <c r="H48" s="15"/>
      <c r="I48" s="15">
        <v>800000</v>
      </c>
      <c r="J48" s="15"/>
      <c r="K48" s="83">
        <v>1065</v>
      </c>
    </row>
    <row r="49" spans="3:11" x14ac:dyDescent="0.3">
      <c r="F49" s="15" t="s">
        <v>133</v>
      </c>
      <c r="G49" s="107">
        <f>K45*3</f>
        <v>14602.909090909092</v>
      </c>
      <c r="H49" s="15"/>
      <c r="I49" s="15">
        <v>300000</v>
      </c>
      <c r="J49" s="15"/>
      <c r="K49" s="83">
        <v>405</v>
      </c>
    </row>
    <row r="50" spans="3:11" x14ac:dyDescent="0.3">
      <c r="G50" s="106"/>
    </row>
    <row r="51" spans="3:11" x14ac:dyDescent="0.3">
      <c r="C51" s="6" t="s">
        <v>153</v>
      </c>
    </row>
    <row r="52" spans="3:11" x14ac:dyDescent="0.3">
      <c r="G52" s="106"/>
    </row>
    <row r="53" spans="3:11" x14ac:dyDescent="0.3">
      <c r="C53"/>
    </row>
    <row r="55" spans="3:11" x14ac:dyDescent="0.3">
      <c r="G55" s="39"/>
    </row>
    <row r="56" spans="3:11" x14ac:dyDescent="0.3">
      <c r="G56" s="39"/>
    </row>
    <row r="57" spans="3:11" x14ac:dyDescent="0.3">
      <c r="G57" s="14"/>
    </row>
    <row r="67" spans="6:6" x14ac:dyDescent="0.3">
      <c r="F67" s="39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2" priority="2" operator="greaterThan">
      <formula>0</formula>
    </cfRule>
    <cfRule type="cellIs" dxfId="41" priority="3" operator="lessThan">
      <formula>0</formula>
    </cfRule>
  </conditionalFormatting>
  <conditionalFormatting sqref="L5">
    <cfRule type="duplicateValues" dxfId="40" priority="1"/>
  </conditionalFormatting>
  <conditionalFormatting sqref="L6:L22">
    <cfRule type="duplicateValues" dxfId="39" priority="4"/>
  </conditionalFormatting>
  <conditionalFormatting sqref="M5:M22">
    <cfRule type="duplicateValues" dxfId="3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F33" sqref="F33:F39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10" width="10.5546875" style="1" bestFit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184</v>
      </c>
      <c r="C1" s="157"/>
      <c r="D1" s="157"/>
      <c r="E1" s="157"/>
      <c r="F1" s="158"/>
      <c r="G1" s="16" t="s">
        <v>25</v>
      </c>
      <c r="H1" s="146">
        <v>45714</v>
      </c>
      <c r="I1" s="147"/>
      <c r="J1" s="17" t="s">
        <v>15</v>
      </c>
      <c r="K1" s="159">
        <f>M2-E2</f>
        <v>405496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1386194</v>
      </c>
      <c r="F2" s="20"/>
      <c r="G2" s="31" t="s">
        <v>32</v>
      </c>
      <c r="H2" s="148" t="s">
        <v>259</v>
      </c>
      <c r="I2" s="163"/>
      <c r="J2" s="37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45714</v>
      </c>
      <c r="D5" s="26" t="s">
        <v>162</v>
      </c>
      <c r="E5" s="9">
        <v>257500</v>
      </c>
      <c r="F5" s="23" t="s">
        <v>159</v>
      </c>
      <c r="G5" s="43">
        <v>45765</v>
      </c>
      <c r="H5" s="44">
        <v>157</v>
      </c>
      <c r="I5" s="47" t="str">
        <f>IF(ISBLANK(G5),"",CONCATENATE(G5-$H$1+1," days"))</f>
        <v>52 days</v>
      </c>
      <c r="J5" s="21">
        <v>1</v>
      </c>
      <c r="K5" s="43">
        <v>45775</v>
      </c>
      <c r="L5" s="3" t="s">
        <v>165</v>
      </c>
      <c r="M5" s="5">
        <v>368280</v>
      </c>
      <c r="N5" s="22"/>
    </row>
    <row r="6" spans="1:14" x14ac:dyDescent="0.3">
      <c r="A6" s="15"/>
      <c r="B6" s="40">
        <v>2</v>
      </c>
      <c r="C6" s="7">
        <v>45743</v>
      </c>
      <c r="D6" s="8" t="s">
        <v>163</v>
      </c>
      <c r="E6" s="9">
        <v>35000</v>
      </c>
      <c r="F6" s="23" t="s">
        <v>164</v>
      </c>
      <c r="G6" s="43">
        <v>45775</v>
      </c>
      <c r="H6" s="44">
        <v>110</v>
      </c>
      <c r="I6" s="47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167</v>
      </c>
      <c r="M6" s="5">
        <v>571064</v>
      </c>
      <c r="N6" s="22"/>
    </row>
    <row r="7" spans="1:14" x14ac:dyDescent="0.3">
      <c r="A7" s="15"/>
      <c r="B7" s="40">
        <v>3</v>
      </c>
      <c r="C7" s="7">
        <v>45792</v>
      </c>
      <c r="D7" s="8" t="s">
        <v>166</v>
      </c>
      <c r="E7" s="9">
        <v>984721</v>
      </c>
      <c r="F7" s="23"/>
      <c r="G7" s="43">
        <v>45783</v>
      </c>
      <c r="H7" s="44">
        <v>86</v>
      </c>
      <c r="I7" s="47" t="str">
        <f t="shared" si="0"/>
        <v>70 days</v>
      </c>
      <c r="J7" s="21">
        <v>3</v>
      </c>
      <c r="K7" s="43">
        <v>45791</v>
      </c>
      <c r="L7" s="3" t="s">
        <v>171</v>
      </c>
      <c r="M7" s="5">
        <v>679140</v>
      </c>
      <c r="N7" s="22"/>
    </row>
    <row r="8" spans="1:14" x14ac:dyDescent="0.3">
      <c r="A8" s="15"/>
      <c r="B8" s="40">
        <v>4</v>
      </c>
      <c r="C8" s="7">
        <v>45792</v>
      </c>
      <c r="D8" s="8" t="s">
        <v>173</v>
      </c>
      <c r="E8" s="9">
        <v>108973</v>
      </c>
      <c r="F8" s="22"/>
      <c r="G8" s="43">
        <v>45787</v>
      </c>
      <c r="H8" s="44">
        <v>74</v>
      </c>
      <c r="I8" s="47" t="str">
        <f t="shared" si="0"/>
        <v>74 days</v>
      </c>
      <c r="J8" s="21">
        <v>4</v>
      </c>
      <c r="K8" s="43">
        <v>45791</v>
      </c>
      <c r="L8" s="3" t="s">
        <v>172</v>
      </c>
      <c r="M8" s="5">
        <v>173206</v>
      </c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>
        <v>45791</v>
      </c>
      <c r="H9" s="44">
        <v>67</v>
      </c>
      <c r="I9" s="47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/>
      <c r="D10" s="104">
        <v>900</v>
      </c>
      <c r="E10" s="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104">
        <v>2400</v>
      </c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104">
        <v>25261</v>
      </c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104">
        <v>3360</v>
      </c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104">
        <v>6000</v>
      </c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104">
        <v>6000</v>
      </c>
      <c r="E15" s="5"/>
      <c r="F15" s="22"/>
      <c r="G15" s="16" t="s">
        <v>25</v>
      </c>
      <c r="H15" s="146">
        <v>45743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104">
        <v>4956</v>
      </c>
      <c r="E16" s="5"/>
      <c r="F16" s="22"/>
      <c r="G16" s="31" t="s">
        <v>32</v>
      </c>
      <c r="H16" s="148" t="s">
        <v>260</v>
      </c>
      <c r="I16" s="14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104">
        <v>5600</v>
      </c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104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104">
        <v>26577</v>
      </c>
      <c r="E19" s="5"/>
      <c r="F19" s="22"/>
      <c r="G19" s="43">
        <v>45783</v>
      </c>
      <c r="H19" s="44">
        <v>132</v>
      </c>
      <c r="I19" s="47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104">
        <v>24919</v>
      </c>
      <c r="E20" s="5"/>
      <c r="F20" s="22"/>
      <c r="G20" s="43">
        <v>45791</v>
      </c>
      <c r="H20" s="44">
        <v>102</v>
      </c>
      <c r="I20" s="47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104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15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850000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184140</v>
      </c>
      <c r="G33" s="57">
        <v>110</v>
      </c>
      <c r="H33" s="65">
        <v>1674</v>
      </c>
      <c r="I33" s="60">
        <v>220</v>
      </c>
      <c r="J33" s="137">
        <f>H33*I33</f>
        <v>368280</v>
      </c>
      <c r="K33" s="137"/>
      <c r="L33" s="83" t="s">
        <v>169</v>
      </c>
      <c r="M33" s="60">
        <v>400000</v>
      </c>
    </row>
    <row r="34" spans="1:13" x14ac:dyDescent="0.3">
      <c r="E34" s="15" t="s">
        <v>56</v>
      </c>
      <c r="F34" s="57">
        <f t="shared" ref="F34:F39" si="2">H34*G34</f>
        <v>160337.20000000001</v>
      </c>
      <c r="G34" s="57">
        <v>73</v>
      </c>
      <c r="H34" s="65">
        <v>2196.4</v>
      </c>
      <c r="I34" s="60">
        <v>260</v>
      </c>
      <c r="J34" s="137">
        <f t="shared" ref="J34:J39" si="3">H34*I34</f>
        <v>571064</v>
      </c>
      <c r="K34" s="137"/>
      <c r="L34" s="83" t="s">
        <v>174</v>
      </c>
      <c r="M34" s="60">
        <v>200000</v>
      </c>
    </row>
    <row r="35" spans="1:13" x14ac:dyDescent="0.3">
      <c r="C35" s="122"/>
      <c r="E35" s="15" t="s">
        <v>168</v>
      </c>
      <c r="F35" s="57">
        <f t="shared" si="2"/>
        <v>162508.5</v>
      </c>
      <c r="G35" s="57">
        <v>67</v>
      </c>
      <c r="H35" s="65">
        <v>2425.5</v>
      </c>
      <c r="I35" s="60">
        <v>280</v>
      </c>
      <c r="J35" s="137">
        <f t="shared" si="3"/>
        <v>679140</v>
      </c>
      <c r="K35" s="137"/>
      <c r="L35" s="83" t="s">
        <v>175</v>
      </c>
      <c r="M35" s="60">
        <v>250000</v>
      </c>
    </row>
    <row r="36" spans="1:13" x14ac:dyDescent="0.3">
      <c r="E36" s="15" t="s">
        <v>57</v>
      </c>
      <c r="F36" s="57">
        <f t="shared" si="2"/>
        <v>80304.599999999991</v>
      </c>
      <c r="G36" s="57">
        <v>102</v>
      </c>
      <c r="H36" s="65">
        <v>787.3</v>
      </c>
      <c r="I36" s="60">
        <v>220</v>
      </c>
      <c r="J36" s="137">
        <f t="shared" si="3"/>
        <v>173206</v>
      </c>
      <c r="K36" s="137"/>
      <c r="L36" s="83" t="s">
        <v>176</v>
      </c>
      <c r="M36" s="60">
        <v>985721</v>
      </c>
    </row>
    <row r="37" spans="1:13" x14ac:dyDescent="0.3">
      <c r="E37" s="15"/>
      <c r="F37" s="57">
        <v>0</v>
      </c>
      <c r="G37" s="57"/>
      <c r="H37" s="65"/>
      <c r="I37" s="60"/>
      <c r="J37" s="137">
        <f t="shared" si="3"/>
        <v>0</v>
      </c>
      <c r="K37" s="137"/>
      <c r="L37" s="83"/>
      <c r="M37" s="60"/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/>
      <c r="M38" s="60"/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587290.30000000005</v>
      </c>
      <c r="G40" s="58"/>
      <c r="H40" s="82">
        <f>SUM(H33:H39)</f>
        <v>7083.2</v>
      </c>
      <c r="I40" s="50"/>
      <c r="J40" s="138">
        <f>SUM(J33:J39)</f>
        <v>1791690</v>
      </c>
      <c r="K40" s="138"/>
      <c r="L40" s="50" t="s">
        <v>88</v>
      </c>
      <c r="M40" s="5">
        <f>SUM(M33:M39)</f>
        <v>1835721</v>
      </c>
    </row>
    <row r="41" spans="1:13" ht="15" thickBot="1" x14ac:dyDescent="0.35">
      <c r="E41" s="50" t="s">
        <v>126</v>
      </c>
      <c r="F41" s="105" t="str">
        <f>CONCATENATE(ROUND((F40/F31)*100,2),"%")</f>
        <v>69.09%</v>
      </c>
      <c r="G41" s="15"/>
      <c r="H41" s="56"/>
      <c r="I41" s="15"/>
      <c r="J41" s="83"/>
      <c r="K41" s="83"/>
      <c r="L41" s="81" t="s">
        <v>89</v>
      </c>
      <c r="M41" s="101">
        <f>J40-M40</f>
        <v>-44031</v>
      </c>
    </row>
    <row r="42" spans="1:13" x14ac:dyDescent="0.3">
      <c r="D42" s="39"/>
      <c r="L42" s="66"/>
      <c r="M42" s="39"/>
    </row>
    <row r="43" spans="1:13" x14ac:dyDescent="0.3">
      <c r="A43" s="142" t="s">
        <v>108</v>
      </c>
      <c r="B43" s="142"/>
      <c r="C43" s="142"/>
      <c r="D43" s="57"/>
      <c r="E43" s="15"/>
      <c r="F43" s="3" t="e">
        <f>D43/E43</f>
        <v>#DIV/0!</v>
      </c>
      <c r="G43" s="5" t="e">
        <f>F43*265</f>
        <v>#DIV/0!</v>
      </c>
      <c r="H43" s="97"/>
      <c r="I43" s="15"/>
      <c r="J43" s="15"/>
      <c r="K43" s="5"/>
      <c r="L43" s="15"/>
      <c r="M43" s="15"/>
    </row>
    <row r="44" spans="1:13" x14ac:dyDescent="0.3">
      <c r="D44" s="39"/>
      <c r="F44" s="26"/>
      <c r="G44" s="26"/>
      <c r="H44" s="26"/>
      <c r="I44" s="26"/>
      <c r="J44" s="26"/>
      <c r="K44" s="26"/>
    </row>
    <row r="54" spans="6:6" x14ac:dyDescent="0.3">
      <c r="F54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7" priority="2" operator="greaterThan">
      <formula>0</formula>
    </cfRule>
    <cfRule type="cellIs" dxfId="36" priority="3" operator="lessThan">
      <formula>0</formula>
    </cfRule>
  </conditionalFormatting>
  <conditionalFormatting sqref="L5">
    <cfRule type="duplicateValues" dxfId="35" priority="1"/>
  </conditionalFormatting>
  <conditionalFormatting sqref="L6:L22">
    <cfRule type="duplicateValues" dxfId="34" priority="4"/>
  </conditionalFormatting>
  <conditionalFormatting sqref="M5:M22">
    <cfRule type="duplicateValues" dxfId="3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topLeftCell="D1" zoomScaleNormal="100" workbookViewId="0">
      <pane ySplit="1" topLeftCell="A21" activePane="bottomLeft" state="frozen"/>
      <selection pane="bottomLeft" activeCell="F31" sqref="F31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185</v>
      </c>
      <c r="C1" s="157"/>
      <c r="D1" s="157"/>
      <c r="E1" s="157"/>
      <c r="F1" s="158"/>
      <c r="G1" s="16" t="s">
        <v>25</v>
      </c>
      <c r="H1" s="146">
        <v>45840</v>
      </c>
      <c r="I1" s="147"/>
      <c r="J1" s="17" t="s">
        <v>15</v>
      </c>
      <c r="K1" s="159">
        <f>M2-E2</f>
        <v>1125929.5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1410000</v>
      </c>
      <c r="F2" s="20"/>
      <c r="G2" s="31" t="s">
        <v>32</v>
      </c>
      <c r="H2" s="148" t="s">
        <v>261</v>
      </c>
      <c r="I2" s="163"/>
      <c r="J2" s="37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45840</v>
      </c>
      <c r="D5" s="26" t="s">
        <v>162</v>
      </c>
      <c r="E5" s="9">
        <v>300000</v>
      </c>
      <c r="F5" s="23" t="s">
        <v>222</v>
      </c>
      <c r="G5" s="43">
        <v>45884</v>
      </c>
      <c r="H5" s="44">
        <v>135</v>
      </c>
      <c r="I5" s="47" t="str">
        <f>IF(ISBLANK(G5),"",CONCATENATE(G5-$H$1+1," days"))</f>
        <v>45 days</v>
      </c>
      <c r="J5" s="21">
        <v>1</v>
      </c>
      <c r="K5" s="43">
        <v>45893</v>
      </c>
      <c r="L5" s="3" t="s">
        <v>188</v>
      </c>
      <c r="M5" s="5">
        <v>521040</v>
      </c>
      <c r="N5" s="22"/>
    </row>
    <row r="6" spans="2:14" x14ac:dyDescent="0.3">
      <c r="B6" s="40">
        <v>2</v>
      </c>
      <c r="C6" s="7"/>
      <c r="D6" s="3" t="s">
        <v>173</v>
      </c>
      <c r="E6" s="5">
        <v>160000</v>
      </c>
      <c r="F6" s="23"/>
      <c r="G6" s="43">
        <v>45889</v>
      </c>
      <c r="H6" s="44">
        <v>120</v>
      </c>
      <c r="I6" s="47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193</v>
      </c>
      <c r="M6" s="5">
        <v>756496</v>
      </c>
      <c r="N6" s="22"/>
    </row>
    <row r="7" spans="2:14" x14ac:dyDescent="0.3">
      <c r="B7" s="40">
        <v>3</v>
      </c>
      <c r="C7" s="7"/>
      <c r="D7" s="3" t="s">
        <v>194</v>
      </c>
      <c r="E7" s="5">
        <v>920000</v>
      </c>
      <c r="F7" s="23"/>
      <c r="G7" s="43">
        <v>45893</v>
      </c>
      <c r="H7" s="44">
        <v>98</v>
      </c>
      <c r="I7" s="47" t="str">
        <f t="shared" si="0"/>
        <v>54 days</v>
      </c>
      <c r="J7" s="21">
        <v>3</v>
      </c>
      <c r="K7" s="4">
        <v>45901</v>
      </c>
      <c r="L7" s="3" t="s">
        <v>198</v>
      </c>
      <c r="M7" s="5">
        <v>940405.5</v>
      </c>
      <c r="N7" s="22" t="s">
        <v>196</v>
      </c>
    </row>
    <row r="8" spans="2:14" x14ac:dyDescent="0.3">
      <c r="B8" s="40">
        <v>4</v>
      </c>
      <c r="C8" s="7"/>
      <c r="D8" s="3" t="s">
        <v>197</v>
      </c>
      <c r="E8" s="5">
        <v>30000</v>
      </c>
      <c r="F8" s="22"/>
      <c r="G8" s="43">
        <v>45899</v>
      </c>
      <c r="H8" s="44">
        <v>78</v>
      </c>
      <c r="I8" s="47" t="str">
        <f t="shared" si="0"/>
        <v>60 days</v>
      </c>
      <c r="J8" s="21">
        <v>4</v>
      </c>
      <c r="K8" s="4">
        <v>45912</v>
      </c>
      <c r="L8" s="3" t="s">
        <v>204</v>
      </c>
      <c r="M8" s="5">
        <v>317988</v>
      </c>
      <c r="N8" s="22"/>
    </row>
    <row r="9" spans="2:14" x14ac:dyDescent="0.3">
      <c r="B9" s="40">
        <v>5</v>
      </c>
      <c r="C9" s="127"/>
      <c r="D9" s="15"/>
      <c r="E9" s="15"/>
      <c r="F9" s="22"/>
      <c r="G9" s="46">
        <v>45900</v>
      </c>
      <c r="H9" s="44">
        <v>81</v>
      </c>
      <c r="I9" s="47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>
        <v>45901</v>
      </c>
      <c r="H10" s="44">
        <v>79</v>
      </c>
      <c r="I10" s="47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45840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203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45884</v>
      </c>
      <c r="H19" s="44">
        <v>150</v>
      </c>
      <c r="I19" s="47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45889</v>
      </c>
      <c r="H20" s="44">
        <v>120</v>
      </c>
      <c r="I20" s="47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45893</v>
      </c>
      <c r="H21" s="44">
        <v>97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45899</v>
      </c>
      <c r="H22" s="44">
        <v>80</v>
      </c>
      <c r="I22" s="47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45900</v>
      </c>
      <c r="H23" s="44">
        <v>74</v>
      </c>
      <c r="I23" s="47" t="str">
        <f t="shared" si="1"/>
        <v>61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46">
        <v>45907</v>
      </c>
      <c r="H24" s="44">
        <v>56</v>
      </c>
      <c r="I24" s="47" t="str">
        <f t="shared" si="1"/>
        <v>68 days</v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46">
        <v>45910</v>
      </c>
      <c r="H25" s="44">
        <v>50</v>
      </c>
      <c r="I25" s="47" t="str">
        <f t="shared" si="1"/>
        <v>71 days</v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46">
        <v>45912</v>
      </c>
      <c r="H26" s="44">
        <v>48</v>
      </c>
      <c r="I26" s="47" t="str">
        <f t="shared" si="1"/>
        <v>73 days</v>
      </c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2:14" x14ac:dyDescent="0.3">
      <c r="B31" s="24"/>
      <c r="C31" s="25"/>
      <c r="D31" s="26"/>
      <c r="E31" s="64" t="s">
        <v>65</v>
      </c>
      <c r="F31" s="84">
        <v>1050000</v>
      </c>
      <c r="G31" s="90" t="s">
        <v>186</v>
      </c>
      <c r="H31" s="125">
        <v>900000</v>
      </c>
      <c r="I31" s="59" t="s">
        <v>187</v>
      </c>
      <c r="J31" s="171">
        <v>150000</v>
      </c>
      <c r="K31" s="171"/>
      <c r="L31" s="96"/>
      <c r="M31" s="96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4"/>
    </row>
    <row r="33" spans="2:13" x14ac:dyDescent="0.3">
      <c r="E33" s="15" t="s">
        <v>189</v>
      </c>
      <c r="F33" s="57">
        <f>H33*G33</f>
        <v>190815.8</v>
      </c>
      <c r="G33" s="57">
        <v>98</v>
      </c>
      <c r="H33" s="65">
        <v>1947.1</v>
      </c>
      <c r="I33" s="60">
        <v>240</v>
      </c>
      <c r="J33" s="139">
        <f>H33*I33</f>
        <v>467304</v>
      </c>
      <c r="K33" s="139"/>
      <c r="L33" s="83" t="s">
        <v>199</v>
      </c>
      <c r="M33" s="60">
        <v>100000</v>
      </c>
    </row>
    <row r="34" spans="2:13" x14ac:dyDescent="0.3">
      <c r="E34" s="15" t="s">
        <v>190</v>
      </c>
      <c r="F34" s="57">
        <f t="shared" ref="F34:F39" si="2">H34*G34</f>
        <v>21718.3</v>
      </c>
      <c r="G34" s="57">
        <v>97</v>
      </c>
      <c r="H34" s="65">
        <v>223.9</v>
      </c>
      <c r="I34" s="60">
        <v>240</v>
      </c>
      <c r="J34" s="139">
        <f t="shared" ref="J34:J39" si="3">H34*I34</f>
        <v>53736</v>
      </c>
      <c r="K34" s="139"/>
      <c r="L34" s="83" t="s">
        <v>202</v>
      </c>
      <c r="M34" s="60">
        <v>600000</v>
      </c>
    </row>
    <row r="35" spans="2:13" x14ac:dyDescent="0.3">
      <c r="C35" s="122"/>
      <c r="E35" s="15" t="s">
        <v>191</v>
      </c>
      <c r="F35" s="57">
        <f t="shared" si="2"/>
        <v>185004</v>
      </c>
      <c r="G35" s="57">
        <v>81</v>
      </c>
      <c r="H35" s="65">
        <v>2284</v>
      </c>
      <c r="I35" s="60">
        <v>265</v>
      </c>
      <c r="J35" s="139">
        <f t="shared" si="3"/>
        <v>605260</v>
      </c>
      <c r="K35" s="139"/>
      <c r="L35" s="83" t="s">
        <v>206</v>
      </c>
      <c r="M35" s="60">
        <v>700000</v>
      </c>
    </row>
    <row r="36" spans="2:13" x14ac:dyDescent="0.3">
      <c r="E36" s="15" t="s">
        <v>192</v>
      </c>
      <c r="F36" s="57">
        <f t="shared" si="2"/>
        <v>42231.8</v>
      </c>
      <c r="G36" s="57">
        <v>74</v>
      </c>
      <c r="H36" s="65">
        <v>570.70000000000005</v>
      </c>
      <c r="I36" s="60">
        <v>265</v>
      </c>
      <c r="J36" s="139">
        <f t="shared" si="3"/>
        <v>151235.5</v>
      </c>
      <c r="K36" s="139"/>
      <c r="L36" s="83" t="s">
        <v>60</v>
      </c>
      <c r="M36" s="60">
        <v>920000</v>
      </c>
    </row>
    <row r="37" spans="2:13" x14ac:dyDescent="0.3">
      <c r="E37" s="15" t="s">
        <v>195</v>
      </c>
      <c r="F37" s="57">
        <f t="shared" si="2"/>
        <v>280347.3</v>
      </c>
      <c r="G37" s="57">
        <v>79</v>
      </c>
      <c r="H37" s="65">
        <v>3548.7</v>
      </c>
      <c r="I37" s="60">
        <v>265</v>
      </c>
      <c r="J37" s="139">
        <f t="shared" si="3"/>
        <v>940405.5</v>
      </c>
      <c r="K37" s="139"/>
      <c r="L37" s="83" t="s">
        <v>207</v>
      </c>
      <c r="M37" s="60">
        <v>16000</v>
      </c>
    </row>
    <row r="38" spans="2:13" x14ac:dyDescent="0.3">
      <c r="E38" s="15" t="s">
        <v>205</v>
      </c>
      <c r="F38" s="57">
        <f t="shared" si="2"/>
        <v>46252.800000000003</v>
      </c>
      <c r="G38" s="57">
        <v>48</v>
      </c>
      <c r="H38" s="65">
        <v>963.6</v>
      </c>
      <c r="I38" s="60">
        <v>330</v>
      </c>
      <c r="J38" s="139">
        <f t="shared" si="3"/>
        <v>317988</v>
      </c>
      <c r="K38" s="139"/>
      <c r="L38" s="83" t="s">
        <v>209</v>
      </c>
      <c r="M38" s="60">
        <v>200000</v>
      </c>
    </row>
    <row r="39" spans="2:13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60"/>
    </row>
    <row r="40" spans="2:13" x14ac:dyDescent="0.3">
      <c r="E40" s="50" t="s">
        <v>61</v>
      </c>
      <c r="F40" s="58">
        <f>SUM(F33:F38)</f>
        <v>766370</v>
      </c>
      <c r="G40" s="58"/>
      <c r="H40" s="82">
        <f>SUM(H33:H39)</f>
        <v>9538</v>
      </c>
      <c r="I40" s="50"/>
      <c r="J40" s="140">
        <f>SUM(J33:J39)</f>
        <v>2535929</v>
      </c>
      <c r="K40" s="140"/>
      <c r="L40" s="50" t="s">
        <v>88</v>
      </c>
      <c r="M40" s="5">
        <f>SUM(M33:M39)</f>
        <v>2536000</v>
      </c>
    </row>
    <row r="41" spans="2:13" ht="15" thickBot="1" x14ac:dyDescent="0.35">
      <c r="E41" s="50" t="s">
        <v>126</v>
      </c>
      <c r="F41" s="105" t="str">
        <f>CONCATENATE(ROUND((F40/F31)*100,2),"%")</f>
        <v>72.99%</v>
      </c>
      <c r="G41" s="15"/>
      <c r="H41" s="56"/>
      <c r="I41" s="15"/>
      <c r="J41" s="141"/>
      <c r="K41" s="141"/>
      <c r="L41" s="81" t="s">
        <v>89</v>
      </c>
      <c r="M41" s="5">
        <f>J40-M40</f>
        <v>-71</v>
      </c>
    </row>
    <row r="42" spans="2:13" x14ac:dyDescent="0.3">
      <c r="D42" s="39"/>
      <c r="L42" s="66"/>
      <c r="M42" s="39"/>
    </row>
    <row r="43" spans="2:13" x14ac:dyDescent="0.3">
      <c r="B43" s="142" t="s">
        <v>200</v>
      </c>
      <c r="C43" s="14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</row>
    <row r="44" spans="2:13" x14ac:dyDescent="0.3">
      <c r="D44" s="39"/>
      <c r="F44" s="26"/>
      <c r="G44" s="26"/>
      <c r="H44" s="26"/>
      <c r="I44" s="26"/>
      <c r="J44" s="26"/>
      <c r="K44" s="26"/>
    </row>
    <row r="46" spans="2:13" x14ac:dyDescent="0.3">
      <c r="E46" s="128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B43:C43"/>
  </mergeCells>
  <conditionalFormatting sqref="K1:L1">
    <cfRule type="cellIs" dxfId="32" priority="2" operator="greaterThan">
      <formula>0</formula>
    </cfRule>
    <cfRule type="cellIs" dxfId="31" priority="3" operator="lessThan">
      <formula>0</formula>
    </cfRule>
  </conditionalFormatting>
  <conditionalFormatting sqref="L5">
    <cfRule type="duplicateValues" dxfId="30" priority="1"/>
  </conditionalFormatting>
  <conditionalFormatting sqref="L6:L22">
    <cfRule type="duplicateValues" dxfId="29" priority="4"/>
  </conditionalFormatting>
  <conditionalFormatting sqref="M5:M22">
    <cfRule type="duplicateValues" dxfId="2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8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227</v>
      </c>
      <c r="C1" s="157"/>
      <c r="D1" s="157"/>
      <c r="E1" s="157"/>
      <c r="F1" s="158"/>
      <c r="G1" s="16" t="s">
        <v>25</v>
      </c>
      <c r="H1" s="146">
        <v>45918</v>
      </c>
      <c r="I1" s="147"/>
      <c r="J1" s="17" t="s">
        <v>15</v>
      </c>
      <c r="K1" s="159">
        <f>M2-E2</f>
        <v>979350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1551000</v>
      </c>
      <c r="F2" s="20"/>
      <c r="G2" s="31" t="s">
        <v>32</v>
      </c>
      <c r="H2" s="148" t="s">
        <v>259</v>
      </c>
      <c r="I2" s="163"/>
      <c r="J2" s="37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45918</v>
      </c>
      <c r="D5" s="26" t="s">
        <v>19</v>
      </c>
      <c r="E5" s="9">
        <v>288000</v>
      </c>
      <c r="F5" s="23" t="s">
        <v>223</v>
      </c>
      <c r="G5" s="43">
        <v>45972</v>
      </c>
      <c r="H5" s="44">
        <v>90</v>
      </c>
      <c r="I5" s="47" t="str">
        <f>IF(ISBLANK(G5),"",CONCATENATE(G5-$H$1+1," days"))</f>
        <v>55 days</v>
      </c>
      <c r="J5" s="21">
        <v>1</v>
      </c>
      <c r="K5" s="43">
        <v>45975</v>
      </c>
      <c r="L5" s="3" t="s">
        <v>219</v>
      </c>
      <c r="M5" s="5">
        <v>496056</v>
      </c>
      <c r="N5" s="22"/>
    </row>
    <row r="6" spans="2:14" x14ac:dyDescent="0.3">
      <c r="B6" s="40">
        <v>2</v>
      </c>
      <c r="C6" s="7">
        <v>45918</v>
      </c>
      <c r="D6" s="3" t="s">
        <v>208</v>
      </c>
      <c r="E6" s="5">
        <v>17500</v>
      </c>
      <c r="F6" s="23"/>
      <c r="G6" s="43">
        <v>45974</v>
      </c>
      <c r="H6" s="44">
        <v>93</v>
      </c>
      <c r="I6" s="47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225</v>
      </c>
      <c r="M6" s="5">
        <v>644160</v>
      </c>
      <c r="N6" s="22"/>
    </row>
    <row r="7" spans="2:14" x14ac:dyDescent="0.3">
      <c r="B7" s="40">
        <v>3</v>
      </c>
      <c r="C7" s="7">
        <v>45961</v>
      </c>
      <c r="D7" s="3" t="s">
        <v>231</v>
      </c>
      <c r="E7" s="5">
        <v>996000</v>
      </c>
      <c r="F7" s="23"/>
      <c r="G7" s="43">
        <v>45975</v>
      </c>
      <c r="H7" s="44">
        <v>88</v>
      </c>
      <c r="I7" s="47" t="str">
        <f t="shared" si="0"/>
        <v>58 days</v>
      </c>
      <c r="J7" s="21">
        <v>3</v>
      </c>
      <c r="K7" s="4">
        <v>45995</v>
      </c>
      <c r="L7" s="3" t="s">
        <v>229</v>
      </c>
      <c r="M7" s="5">
        <v>1136588</v>
      </c>
      <c r="N7" s="22"/>
    </row>
    <row r="8" spans="2:14" x14ac:dyDescent="0.3">
      <c r="B8" s="40">
        <v>4</v>
      </c>
      <c r="C8" s="7">
        <v>45956</v>
      </c>
      <c r="D8" s="3" t="s">
        <v>220</v>
      </c>
      <c r="E8" s="5">
        <v>15000</v>
      </c>
      <c r="F8" s="22"/>
      <c r="G8" s="43">
        <v>45982</v>
      </c>
      <c r="H8" s="44">
        <v>72</v>
      </c>
      <c r="I8" s="47" t="str">
        <f t="shared" si="0"/>
        <v>65 days</v>
      </c>
      <c r="J8" s="21">
        <v>4</v>
      </c>
      <c r="K8" s="4">
        <v>45995</v>
      </c>
      <c r="L8" s="3" t="s">
        <v>230</v>
      </c>
      <c r="M8" s="5">
        <v>244273.5</v>
      </c>
      <c r="N8" s="22"/>
    </row>
    <row r="9" spans="2:14" x14ac:dyDescent="0.3">
      <c r="B9" s="40">
        <v>5</v>
      </c>
      <c r="C9" s="7">
        <v>45995</v>
      </c>
      <c r="D9" s="3" t="s">
        <v>228</v>
      </c>
      <c r="E9" s="5">
        <v>100000</v>
      </c>
      <c r="F9" s="22"/>
      <c r="G9" s="46">
        <v>45985</v>
      </c>
      <c r="H9" s="44">
        <v>68</v>
      </c>
      <c r="I9" s="47" t="str">
        <f t="shared" si="0"/>
        <v>68 days</v>
      </c>
      <c r="J9" s="21">
        <v>5</v>
      </c>
      <c r="K9" s="4">
        <v>46001</v>
      </c>
      <c r="L9" s="3" t="s">
        <v>234</v>
      </c>
      <c r="M9" s="5">
        <v>3182.5</v>
      </c>
      <c r="N9" s="22"/>
    </row>
    <row r="10" spans="2:14" x14ac:dyDescent="0.3">
      <c r="B10" s="40">
        <v>6</v>
      </c>
      <c r="C10" s="7">
        <v>45995</v>
      </c>
      <c r="D10" s="3" t="s">
        <v>69</v>
      </c>
      <c r="E10" s="5">
        <v>70000</v>
      </c>
      <c r="F10" s="22"/>
      <c r="G10" s="46">
        <v>45991</v>
      </c>
      <c r="H10" s="44">
        <v>62</v>
      </c>
      <c r="I10" s="47" t="str">
        <f t="shared" si="0"/>
        <v>74 days</v>
      </c>
      <c r="J10" s="21">
        <v>6</v>
      </c>
      <c r="K10" s="4">
        <v>46003</v>
      </c>
      <c r="L10" s="3" t="s">
        <v>233</v>
      </c>
      <c r="M10" s="5">
        <v>6090</v>
      </c>
      <c r="N10" s="22"/>
    </row>
    <row r="11" spans="2:14" x14ac:dyDescent="0.3">
      <c r="B11" s="40">
        <v>7</v>
      </c>
      <c r="C11" s="7">
        <v>45995</v>
      </c>
      <c r="D11" s="3" t="s">
        <v>241</v>
      </c>
      <c r="E11" s="5">
        <v>34500</v>
      </c>
      <c r="F11" s="22"/>
      <c r="G11" s="46">
        <v>45995</v>
      </c>
      <c r="H11" s="44">
        <v>58</v>
      </c>
      <c r="I11" s="47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45995</v>
      </c>
      <c r="D12" s="3" t="s">
        <v>264</v>
      </c>
      <c r="E12" s="5">
        <v>30000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45918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259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 t="s">
        <v>138</v>
      </c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45972</v>
      </c>
      <c r="H19" s="44">
        <v>130</v>
      </c>
      <c r="I19" s="47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45979</v>
      </c>
      <c r="H20" s="44">
        <v>110</v>
      </c>
      <c r="I20" s="47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45991</v>
      </c>
      <c r="H21" s="44">
        <v>93</v>
      </c>
      <c r="I21" s="47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45995</v>
      </c>
      <c r="H22" s="44">
        <v>78</v>
      </c>
      <c r="I22" s="47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900000</v>
      </c>
      <c r="G31" s="90" t="s">
        <v>186</v>
      </c>
      <c r="H31" s="84">
        <v>750000</v>
      </c>
      <c r="I31" s="59" t="s">
        <v>187</v>
      </c>
      <c r="J31" s="84">
        <v>150000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218</v>
      </c>
      <c r="F33" s="57">
        <f>H33*G33</f>
        <v>181887.2</v>
      </c>
      <c r="G33" s="57">
        <v>88</v>
      </c>
      <c r="H33" s="65">
        <v>2066.9</v>
      </c>
      <c r="I33" s="60">
        <v>240</v>
      </c>
      <c r="J33" s="139">
        <f>H33*I33</f>
        <v>496056</v>
      </c>
      <c r="K33" s="139"/>
      <c r="L33" s="83" t="s">
        <v>232</v>
      </c>
      <c r="M33" s="131">
        <v>50000</v>
      </c>
      <c r="N33" s="15"/>
    </row>
    <row r="34" spans="2:14" x14ac:dyDescent="0.3">
      <c r="E34" s="15" t="s">
        <v>221</v>
      </c>
      <c r="F34" s="57">
        <f t="shared" ref="F34:F39" si="2">H34*G34</f>
        <v>146009.59999999998</v>
      </c>
      <c r="G34" s="57">
        <v>68</v>
      </c>
      <c r="H34" s="65">
        <v>2147.1999999999998</v>
      </c>
      <c r="I34" s="60">
        <v>300</v>
      </c>
      <c r="J34" s="139">
        <f t="shared" ref="J34:J39" si="3">H34*I34</f>
        <v>644160</v>
      </c>
      <c r="K34" s="139"/>
      <c r="L34" s="83" t="s">
        <v>60</v>
      </c>
      <c r="M34" s="131">
        <v>996688</v>
      </c>
      <c r="N34" s="15"/>
    </row>
    <row r="35" spans="2:14" x14ac:dyDescent="0.3">
      <c r="C35" s="122"/>
      <c r="E35" s="15" t="s">
        <v>168</v>
      </c>
      <c r="F35" s="57">
        <f t="shared" si="2"/>
        <v>196782.40000000002</v>
      </c>
      <c r="G35" s="57">
        <v>58</v>
      </c>
      <c r="H35" s="65">
        <v>3392.8</v>
      </c>
      <c r="I35" s="60">
        <v>335</v>
      </c>
      <c r="J35" s="139">
        <f t="shared" si="3"/>
        <v>1136588</v>
      </c>
      <c r="K35" s="139"/>
      <c r="L35" s="83" t="s">
        <v>242</v>
      </c>
      <c r="M35" s="131">
        <v>500000</v>
      </c>
      <c r="N35" s="15" t="s">
        <v>138</v>
      </c>
    </row>
    <row r="36" spans="2:14" x14ac:dyDescent="0.3">
      <c r="E36" s="15" t="s">
        <v>224</v>
      </c>
      <c r="F36" s="57">
        <f t="shared" si="2"/>
        <v>66853.8</v>
      </c>
      <c r="G36" s="57">
        <v>78</v>
      </c>
      <c r="H36" s="65">
        <v>857.1</v>
      </c>
      <c r="I36" s="60">
        <v>285</v>
      </c>
      <c r="J36" s="139">
        <f t="shared" si="3"/>
        <v>244273.5</v>
      </c>
      <c r="K36" s="139"/>
      <c r="L36" s="83" t="s">
        <v>243</v>
      </c>
      <c r="M36" s="131">
        <v>500000</v>
      </c>
      <c r="N36" s="15"/>
    </row>
    <row r="37" spans="2:14" x14ac:dyDescent="0.3">
      <c r="E37" s="15" t="s">
        <v>234</v>
      </c>
      <c r="F37" s="57">
        <f t="shared" si="2"/>
        <v>570</v>
      </c>
      <c r="G37" s="57">
        <v>60</v>
      </c>
      <c r="H37" s="65">
        <v>9.5</v>
      </c>
      <c r="I37" s="60">
        <v>335</v>
      </c>
      <c r="J37" s="139">
        <f t="shared" si="3"/>
        <v>3182.5</v>
      </c>
      <c r="K37" s="139"/>
      <c r="L37" s="83" t="s">
        <v>245</v>
      </c>
      <c r="M37" s="131">
        <v>300000</v>
      </c>
      <c r="N37" s="15"/>
    </row>
    <row r="38" spans="2:14" x14ac:dyDescent="0.3">
      <c r="E38" s="15" t="s">
        <v>233</v>
      </c>
      <c r="F38" s="57">
        <f t="shared" si="2"/>
        <v>1680</v>
      </c>
      <c r="G38" s="57">
        <v>80</v>
      </c>
      <c r="H38" s="65">
        <v>21</v>
      </c>
      <c r="I38" s="60">
        <v>290</v>
      </c>
      <c r="J38" s="139">
        <f t="shared" si="3"/>
        <v>6090</v>
      </c>
      <c r="K38" s="139"/>
      <c r="L38" s="83" t="s">
        <v>232</v>
      </c>
      <c r="M38" s="131">
        <v>50000</v>
      </c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 t="s">
        <v>69</v>
      </c>
      <c r="M39" s="131">
        <v>136000</v>
      </c>
      <c r="N39" s="15"/>
    </row>
    <row r="40" spans="2:14" x14ac:dyDescent="0.3">
      <c r="E40" s="50" t="s">
        <v>61</v>
      </c>
      <c r="F40" s="58">
        <f>SUM(F33:F38)</f>
        <v>593783</v>
      </c>
      <c r="G40" s="58"/>
      <c r="H40" s="82">
        <f>SUM(H33:H39)</f>
        <v>8494.5</v>
      </c>
      <c r="I40" s="50"/>
      <c r="J40" s="140">
        <f>SUM(J33:J39)</f>
        <v>2530350</v>
      </c>
      <c r="K40" s="140"/>
      <c r="L40" s="50" t="s">
        <v>88</v>
      </c>
      <c r="M40" s="132">
        <f>SUM(M33:M39)</f>
        <v>2532688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65.98%</v>
      </c>
      <c r="G41" s="15"/>
      <c r="H41" s="56"/>
      <c r="I41" s="15"/>
      <c r="J41" s="141"/>
      <c r="K41" s="141"/>
      <c r="L41" s="81" t="s">
        <v>89</v>
      </c>
      <c r="M41" s="101">
        <f>J40-M40</f>
        <v>-2338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</mergeCells>
  <conditionalFormatting sqref="K1:L1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L5:L6">
    <cfRule type="duplicateValues" dxfId="25" priority="1"/>
  </conditionalFormatting>
  <conditionalFormatting sqref="L7:L22">
    <cfRule type="duplicateValues" dxfId="24" priority="4"/>
  </conditionalFormatting>
  <conditionalFormatting sqref="M5:M22">
    <cfRule type="duplicateValues" dxfId="2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248</v>
      </c>
      <c r="C1" s="157"/>
      <c r="D1" s="157"/>
      <c r="E1" s="157"/>
      <c r="F1" s="158"/>
      <c r="G1" s="16" t="s">
        <v>25</v>
      </c>
      <c r="H1" s="146">
        <v>46016</v>
      </c>
      <c r="I1" s="147"/>
      <c r="J1" s="17" t="s">
        <v>15</v>
      </c>
      <c r="K1" s="159">
        <f>M2-E2</f>
        <v>-469722.5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585000</v>
      </c>
      <c r="F2" s="20"/>
      <c r="G2" s="31" t="s">
        <v>32</v>
      </c>
      <c r="H2" s="148" t="s">
        <v>262</v>
      </c>
      <c r="I2" s="163"/>
      <c r="J2" s="37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46016</v>
      </c>
      <c r="D5" s="26" t="s">
        <v>19</v>
      </c>
      <c r="E5" s="9">
        <v>288000</v>
      </c>
      <c r="F5" s="23" t="s">
        <v>246</v>
      </c>
      <c r="G5" s="43">
        <v>46049</v>
      </c>
      <c r="H5" s="44">
        <v>518</v>
      </c>
      <c r="I5" s="47" t="str">
        <f>IF(ISBLANK(G5),"",CONCATENATE(G5-$H$1+1," days"))</f>
        <v>34 days</v>
      </c>
      <c r="J5" s="21">
        <v>1</v>
      </c>
      <c r="K5" s="43">
        <v>46046</v>
      </c>
      <c r="L5" s="3" t="s">
        <v>251</v>
      </c>
      <c r="M5" s="5">
        <v>0</v>
      </c>
      <c r="N5" s="22" t="s">
        <v>247</v>
      </c>
    </row>
    <row r="6" spans="2:14" x14ac:dyDescent="0.3">
      <c r="B6" s="40">
        <v>2</v>
      </c>
      <c r="C6" s="7">
        <v>46016</v>
      </c>
      <c r="D6" s="3" t="s">
        <v>244</v>
      </c>
      <c r="E6" s="5">
        <v>13000</v>
      </c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250</v>
      </c>
      <c r="M6" s="5">
        <v>115277.5</v>
      </c>
      <c r="N6" s="22" t="s">
        <v>247</v>
      </c>
    </row>
    <row r="7" spans="2:14" x14ac:dyDescent="0.3">
      <c r="B7" s="40">
        <v>3</v>
      </c>
      <c r="C7" s="7">
        <v>46046</v>
      </c>
      <c r="D7" s="3" t="s">
        <v>253</v>
      </c>
      <c r="E7" s="5">
        <v>250000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46046</v>
      </c>
      <c r="D8" s="3" t="s">
        <v>241</v>
      </c>
      <c r="E8" s="5">
        <v>34000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15"/>
      <c r="E9" s="15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46016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263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990000</v>
      </c>
      <c r="G31" s="90" t="s">
        <v>186</v>
      </c>
      <c r="H31" s="84">
        <v>830000</v>
      </c>
      <c r="I31" s="59" t="s">
        <v>187</v>
      </c>
      <c r="J31" s="84">
        <v>160000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250</v>
      </c>
      <c r="F33" s="57">
        <f>H33*G33</f>
        <v>918673</v>
      </c>
      <c r="G33" s="57">
        <v>518</v>
      </c>
      <c r="H33" s="65">
        <v>1773.5</v>
      </c>
      <c r="I33" s="60">
        <v>65</v>
      </c>
      <c r="J33" s="139">
        <f>H33*I33</f>
        <v>115277.5</v>
      </c>
      <c r="K33" s="139"/>
      <c r="L33" s="83" t="s">
        <v>60</v>
      </c>
      <c r="M33" s="131">
        <v>250000</v>
      </c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39">
        <f t="shared" ref="J34:J39" si="3">H34*I34</f>
        <v>0</v>
      </c>
      <c r="K34" s="13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39">
        <f t="shared" si="3"/>
        <v>0</v>
      </c>
      <c r="K35" s="13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39">
        <f t="shared" si="3"/>
        <v>0</v>
      </c>
      <c r="K36" s="139"/>
      <c r="L36" s="2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39">
        <f t="shared" si="3"/>
        <v>0</v>
      </c>
      <c r="K37" s="13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918673</v>
      </c>
      <c r="G40" s="58"/>
      <c r="H40" s="82">
        <f>SUM(H33:H39)</f>
        <v>1773.5</v>
      </c>
      <c r="I40" s="50"/>
      <c r="J40" s="140">
        <f>SUM(J33:J39)</f>
        <v>115277.5</v>
      </c>
      <c r="K40" s="140"/>
      <c r="L40" s="50" t="s">
        <v>88</v>
      </c>
      <c r="M40" s="132">
        <f>SUM(M33:M39)</f>
        <v>250000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92.8%</v>
      </c>
      <c r="G41" s="15"/>
      <c r="H41" s="56"/>
      <c r="I41" s="15"/>
      <c r="J41" s="141"/>
      <c r="K41" s="141"/>
      <c r="L41" s="81" t="s">
        <v>89</v>
      </c>
      <c r="M41" s="101">
        <f>J40-M40</f>
        <v>-134722.5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L5:L6">
    <cfRule type="duplicateValues" dxfId="20" priority="1"/>
  </conditionalFormatting>
  <conditionalFormatting sqref="L7:L22">
    <cfRule type="duplicateValues" dxfId="19" priority="4"/>
  </conditionalFormatting>
  <conditionalFormatting sqref="M5:M22">
    <cfRule type="duplicateValues" dxfId="1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" activePane="bottomLeft" state="frozen"/>
      <selection pane="bottomLeft" activeCell="H46" sqref="H4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249</v>
      </c>
      <c r="C1" s="157"/>
      <c r="D1" s="157"/>
      <c r="E1" s="157"/>
      <c r="F1" s="158"/>
      <c r="G1" s="16" t="s">
        <v>25</v>
      </c>
      <c r="H1" s="146">
        <v>46068</v>
      </c>
      <c r="I1" s="147"/>
      <c r="J1" s="17" t="s">
        <v>15</v>
      </c>
      <c r="K1" s="159">
        <f>M2-E2</f>
        <v>610376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1578900</v>
      </c>
      <c r="F2" s="20"/>
      <c r="G2" s="31" t="s">
        <v>32</v>
      </c>
      <c r="H2" s="148" t="s">
        <v>275</v>
      </c>
      <c r="I2" s="163"/>
      <c r="J2" s="37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46068</v>
      </c>
      <c r="D5" s="26" t="s">
        <v>19</v>
      </c>
      <c r="E5" s="9">
        <v>256000</v>
      </c>
      <c r="F5" s="23"/>
      <c r="G5" s="43">
        <v>46124</v>
      </c>
      <c r="H5" s="44">
        <v>166</v>
      </c>
      <c r="I5" s="47" t="str">
        <f>IF(ISBLANK(G5),"",CONCATENATE(G5-$H$1+1," days"))</f>
        <v>57 days</v>
      </c>
      <c r="J5" s="21">
        <v>1</v>
      </c>
      <c r="K5" s="43">
        <v>46132</v>
      </c>
      <c r="L5" s="3" t="s">
        <v>269</v>
      </c>
      <c r="M5" s="5">
        <v>456768</v>
      </c>
      <c r="N5" s="22"/>
    </row>
    <row r="6" spans="2:14" x14ac:dyDescent="0.3">
      <c r="B6" s="40">
        <v>2</v>
      </c>
      <c r="C6" s="7">
        <v>46068</v>
      </c>
      <c r="D6" s="3" t="s">
        <v>244</v>
      </c>
      <c r="E6" s="5">
        <v>33000</v>
      </c>
      <c r="F6" s="23" t="s">
        <v>280</v>
      </c>
      <c r="G6" s="43">
        <v>46127</v>
      </c>
      <c r="H6" s="44">
        <v>150</v>
      </c>
      <c r="I6" s="47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271</v>
      </c>
      <c r="M6" s="5">
        <v>1524733</v>
      </c>
      <c r="N6" s="22"/>
    </row>
    <row r="7" spans="2:14" x14ac:dyDescent="0.3">
      <c r="B7" s="40">
        <v>3</v>
      </c>
      <c r="C7" s="7">
        <v>46072</v>
      </c>
      <c r="D7" s="3" t="s">
        <v>29</v>
      </c>
      <c r="E7" s="5">
        <v>38672</v>
      </c>
      <c r="F7" s="23"/>
      <c r="G7" s="43">
        <v>46131</v>
      </c>
      <c r="H7" s="44">
        <v>133</v>
      </c>
      <c r="I7" s="47" t="str">
        <f t="shared" si="0"/>
        <v>64 days</v>
      </c>
      <c r="J7" s="21">
        <v>3</v>
      </c>
      <c r="K7" s="4">
        <v>46138</v>
      </c>
      <c r="L7" s="3" t="s">
        <v>272</v>
      </c>
      <c r="M7" s="5">
        <v>207775</v>
      </c>
      <c r="N7" s="22"/>
    </row>
    <row r="8" spans="2:14" x14ac:dyDescent="0.3">
      <c r="B8" s="40">
        <v>4</v>
      </c>
      <c r="C8" s="7">
        <v>46067</v>
      </c>
      <c r="D8" s="3" t="s">
        <v>29</v>
      </c>
      <c r="E8" s="5">
        <v>15813</v>
      </c>
      <c r="F8" s="22"/>
      <c r="G8" s="43">
        <v>46132</v>
      </c>
      <c r="H8" s="44">
        <v>131</v>
      </c>
      <c r="I8" s="47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46107</v>
      </c>
      <c r="D9" s="3" t="s">
        <v>220</v>
      </c>
      <c r="E9" s="9">
        <v>6000</v>
      </c>
      <c r="F9" s="22"/>
      <c r="G9" s="46">
        <v>46136</v>
      </c>
      <c r="H9" s="44">
        <v>126</v>
      </c>
      <c r="I9" s="47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46111</v>
      </c>
      <c r="D10" s="3" t="s">
        <v>60</v>
      </c>
      <c r="E10" s="9">
        <v>1030055</v>
      </c>
      <c r="F10" s="22" t="s">
        <v>270</v>
      </c>
      <c r="G10" s="46">
        <v>46137</v>
      </c>
      <c r="H10" s="44">
        <v>125</v>
      </c>
      <c r="I10" s="47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7">
        <v>46127</v>
      </c>
      <c r="D11" s="3" t="s">
        <v>29</v>
      </c>
      <c r="E11" s="5">
        <v>29560</v>
      </c>
      <c r="F11" s="22"/>
      <c r="G11" s="46">
        <v>46138</v>
      </c>
      <c r="H11" s="44">
        <v>121</v>
      </c>
      <c r="I11" s="47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46127</v>
      </c>
      <c r="D12" s="3" t="s">
        <v>49</v>
      </c>
      <c r="E12" s="5">
        <v>100000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46138</v>
      </c>
      <c r="D13" s="3" t="s">
        <v>276</v>
      </c>
      <c r="E13" s="5">
        <v>20800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>
        <v>46138</v>
      </c>
      <c r="D14" s="3" t="s">
        <v>277</v>
      </c>
      <c r="E14" s="9">
        <v>4000</v>
      </c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>
        <v>46138</v>
      </c>
      <c r="D15" s="3" t="s">
        <v>197</v>
      </c>
      <c r="E15" s="5">
        <v>45000</v>
      </c>
      <c r="F15" s="22"/>
      <c r="G15" s="16" t="s">
        <v>25</v>
      </c>
      <c r="H15" s="146">
        <v>46068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275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46124</v>
      </c>
      <c r="H19" s="44">
        <v>135</v>
      </c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46131</v>
      </c>
      <c r="H20" s="44">
        <v>97</v>
      </c>
      <c r="I20" s="47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46136</v>
      </c>
      <c r="H21" s="44">
        <v>85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46137</v>
      </c>
      <c r="H22" s="44">
        <v>76</v>
      </c>
      <c r="I22" s="47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46138</v>
      </c>
      <c r="H23" s="44">
        <v>90</v>
      </c>
      <c r="I23" s="47" t="str">
        <f t="shared" si="1"/>
        <v>71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218</v>
      </c>
      <c r="F33" s="57">
        <f>H33*G33</f>
        <v>255712</v>
      </c>
      <c r="G33" s="57">
        <v>131</v>
      </c>
      <c r="H33" s="65">
        <v>1952</v>
      </c>
      <c r="I33" s="60">
        <v>234</v>
      </c>
      <c r="J33" s="139">
        <f>H33*I33</f>
        <v>456768</v>
      </c>
      <c r="K33" s="139"/>
      <c r="L33" s="83" t="s">
        <v>267</v>
      </c>
      <c r="M33" s="131">
        <v>134360</v>
      </c>
      <c r="N33" s="15"/>
    </row>
    <row r="34" spans="2:14" x14ac:dyDescent="0.3">
      <c r="E34" s="15" t="s">
        <v>113</v>
      </c>
      <c r="F34" s="57">
        <f t="shared" ref="F34:F39" si="2">H34*G34</f>
        <v>723967.2</v>
      </c>
      <c r="G34" s="57">
        <v>121</v>
      </c>
      <c r="H34" s="65">
        <v>5983.2</v>
      </c>
      <c r="I34" s="60">
        <v>254</v>
      </c>
      <c r="J34" s="139">
        <f t="shared" ref="J34:J39" si="3">H34*I34</f>
        <v>1519732.8</v>
      </c>
      <c r="K34" s="139"/>
      <c r="L34" s="83" t="s">
        <v>268</v>
      </c>
      <c r="M34" s="131">
        <v>200000</v>
      </c>
      <c r="N34" s="15"/>
    </row>
    <row r="35" spans="2:14" x14ac:dyDescent="0.3">
      <c r="C35" s="122"/>
      <c r="E35" s="15" t="s">
        <v>273</v>
      </c>
      <c r="F35" s="57">
        <f t="shared" si="2"/>
        <v>4500</v>
      </c>
      <c r="G35" s="57">
        <v>90</v>
      </c>
      <c r="H35" s="65">
        <v>50</v>
      </c>
      <c r="I35" s="60">
        <v>100</v>
      </c>
      <c r="J35" s="139">
        <f t="shared" si="3"/>
        <v>5000</v>
      </c>
      <c r="K35" s="139"/>
      <c r="L35" s="83" t="s">
        <v>278</v>
      </c>
      <c r="M35" s="131">
        <v>50000</v>
      </c>
      <c r="N35" s="15" t="s">
        <v>138</v>
      </c>
    </row>
    <row r="36" spans="2:14" x14ac:dyDescent="0.3">
      <c r="E36" s="15" t="s">
        <v>143</v>
      </c>
      <c r="F36" s="57">
        <f t="shared" si="2"/>
        <v>64350</v>
      </c>
      <c r="G36" s="57">
        <v>90</v>
      </c>
      <c r="H36" s="65">
        <v>715</v>
      </c>
      <c r="I36" s="60">
        <v>285</v>
      </c>
      <c r="J36" s="139">
        <f t="shared" si="3"/>
        <v>203775</v>
      </c>
      <c r="K36" s="139"/>
      <c r="L36" s="83" t="s">
        <v>60</v>
      </c>
      <c r="M36" s="131">
        <v>1030055</v>
      </c>
      <c r="N36" s="15"/>
    </row>
    <row r="37" spans="2:14" x14ac:dyDescent="0.3">
      <c r="E37" s="15" t="s">
        <v>274</v>
      </c>
      <c r="F37" s="57">
        <f t="shared" si="2"/>
        <v>3600</v>
      </c>
      <c r="G37" s="57">
        <v>90</v>
      </c>
      <c r="H37" s="65">
        <v>40</v>
      </c>
      <c r="I37" s="60">
        <v>100</v>
      </c>
      <c r="J37" s="139">
        <f t="shared" si="3"/>
        <v>4000</v>
      </c>
      <c r="K37" s="139"/>
      <c r="L37" s="83" t="s">
        <v>127</v>
      </c>
      <c r="M37" s="131">
        <v>200000</v>
      </c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1052129.2</v>
      </c>
      <c r="G40" s="58"/>
      <c r="H40" s="82">
        <f>SUM(H33:H39)</f>
        <v>8740.2000000000007</v>
      </c>
      <c r="I40" s="50"/>
      <c r="J40" s="140">
        <f>SUM(J33:J39)</f>
        <v>2189275.7999999998</v>
      </c>
      <c r="K40" s="140"/>
      <c r="L40" s="50" t="s">
        <v>88</v>
      </c>
      <c r="M40" s="132">
        <f>SUM(M33:M39)</f>
        <v>1614415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131.52%</v>
      </c>
      <c r="G41" s="15"/>
      <c r="H41" s="56"/>
      <c r="I41" s="15"/>
      <c r="J41" s="141"/>
      <c r="K41" s="141"/>
      <c r="L41" s="81" t="s">
        <v>89</v>
      </c>
      <c r="M41" s="101">
        <f>J40-M40</f>
        <v>574860.79999999981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>
        <v>450000</v>
      </c>
      <c r="E43" s="15">
        <v>126</v>
      </c>
      <c r="F43" s="126">
        <f>D43/E43</f>
        <v>3571.4285714285716</v>
      </c>
      <c r="G43" s="60">
        <v>250</v>
      </c>
      <c r="H43" s="97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>
        <v>100000</v>
      </c>
      <c r="E44" s="15">
        <v>76</v>
      </c>
      <c r="F44" s="126">
        <f>D44/E44</f>
        <v>1315.7894736842106</v>
      </c>
      <c r="G44" s="60">
        <v>300</v>
      </c>
      <c r="H44" s="97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7">
        <f>H43+H44</f>
        <v>1287593.9849624061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tabSelected="1" zoomScaleNormal="100" workbookViewId="0">
      <pane ySplit="1" topLeftCell="A2" activePane="bottomLeft" state="frozen"/>
      <selection pane="bottomLeft" activeCell="E26" sqref="E26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282</v>
      </c>
      <c r="C1" s="157"/>
      <c r="D1" s="157"/>
      <c r="E1" s="157"/>
      <c r="F1" s="158"/>
      <c r="G1" s="16" t="s">
        <v>25</v>
      </c>
      <c r="H1" s="146">
        <v>46154</v>
      </c>
      <c r="I1" s="147"/>
      <c r="J1" s="17" t="s">
        <v>15</v>
      </c>
      <c r="K1" s="159">
        <f>M2-E2</f>
        <v>-11227.600000000093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1468114</v>
      </c>
      <c r="F2" s="20"/>
      <c r="G2" s="31" t="s">
        <v>32</v>
      </c>
      <c r="H2" s="148" t="s">
        <v>297</v>
      </c>
      <c r="I2" s="163"/>
      <c r="J2" s="37"/>
      <c r="K2" s="10"/>
      <c r="L2" s="11" t="s">
        <v>14</v>
      </c>
      <c r="M2" s="12">
        <f>SUM(M5:M22)</f>
        <v>1456886.4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46154</v>
      </c>
      <c r="D5" s="26" t="s">
        <v>19</v>
      </c>
      <c r="E5" s="9">
        <v>256000</v>
      </c>
      <c r="F5" s="23" t="s">
        <v>279</v>
      </c>
      <c r="G5" s="43">
        <v>46184</v>
      </c>
      <c r="H5" s="44">
        <v>350</v>
      </c>
      <c r="I5" s="47" t="str">
        <f>IF(ISBLANK(G5),"",CONCATENATE(G5-$H$1+1," days"))</f>
        <v>31 days</v>
      </c>
      <c r="J5" s="21">
        <v>1</v>
      </c>
      <c r="K5" s="43">
        <v>46214</v>
      </c>
      <c r="L5" s="3" t="s">
        <v>290</v>
      </c>
      <c r="M5" s="5">
        <v>388886.4</v>
      </c>
      <c r="N5" s="22"/>
    </row>
    <row r="6" spans="2:14" x14ac:dyDescent="0.3">
      <c r="B6" s="40">
        <v>2</v>
      </c>
      <c r="C6" s="7">
        <v>46154</v>
      </c>
      <c r="D6" s="3" t="s">
        <v>74</v>
      </c>
      <c r="E6" s="5">
        <v>15000</v>
      </c>
      <c r="F6" s="23" t="s">
        <v>280</v>
      </c>
      <c r="G6" s="43">
        <v>46207</v>
      </c>
      <c r="H6" s="44">
        <v>150</v>
      </c>
      <c r="I6" s="47" t="str">
        <f t="shared" ref="I6:I13" si="0">IF(ISBLANK(G6),"",CONCATENATE(G6-$H$1+1," days"))</f>
        <v>54 days</v>
      </c>
      <c r="J6" s="21">
        <v>2</v>
      </c>
      <c r="K6" s="46">
        <v>46222</v>
      </c>
      <c r="L6" s="3" t="s">
        <v>296</v>
      </c>
      <c r="M6" s="5">
        <v>948000</v>
      </c>
      <c r="N6" s="22"/>
    </row>
    <row r="7" spans="2:14" x14ac:dyDescent="0.3">
      <c r="B7" s="40">
        <v>3</v>
      </c>
      <c r="C7" s="7">
        <v>46152</v>
      </c>
      <c r="D7" s="3" t="s">
        <v>283</v>
      </c>
      <c r="E7" s="5">
        <v>10000</v>
      </c>
      <c r="F7" s="23" t="s">
        <v>284</v>
      </c>
      <c r="G7" s="43">
        <v>46212</v>
      </c>
      <c r="H7" s="44">
        <v>125</v>
      </c>
      <c r="I7" s="47" t="str">
        <f t="shared" si="0"/>
        <v>59 days</v>
      </c>
      <c r="J7" s="21">
        <v>3</v>
      </c>
      <c r="K7" s="46">
        <v>46222</v>
      </c>
      <c r="L7" s="3" t="s">
        <v>304</v>
      </c>
      <c r="M7" s="5">
        <v>120000</v>
      </c>
      <c r="N7" s="22"/>
    </row>
    <row r="8" spans="2:14" x14ac:dyDescent="0.3">
      <c r="B8" s="40">
        <v>4</v>
      </c>
      <c r="C8" s="7">
        <v>46161</v>
      </c>
      <c r="D8" s="3" t="s">
        <v>29</v>
      </c>
      <c r="E8" s="5">
        <v>14953</v>
      </c>
      <c r="F8" s="22"/>
      <c r="G8" s="43">
        <v>46214</v>
      </c>
      <c r="H8" s="44">
        <v>119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46167</v>
      </c>
      <c r="D9" s="3" t="s">
        <v>285</v>
      </c>
      <c r="E9" s="9">
        <v>3000</v>
      </c>
      <c r="F9" s="22" t="s">
        <v>57</v>
      </c>
      <c r="G9" s="46">
        <v>46221</v>
      </c>
      <c r="H9" s="44">
        <v>100</v>
      </c>
      <c r="I9" s="47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46191</v>
      </c>
      <c r="D10" s="3" t="s">
        <v>60</v>
      </c>
      <c r="E10" s="9">
        <v>1100000</v>
      </c>
      <c r="F10" s="22" t="s">
        <v>293</v>
      </c>
      <c r="G10" s="46">
        <v>46222</v>
      </c>
      <c r="H10" s="44">
        <v>95</v>
      </c>
      <c r="I10" s="47" t="str">
        <f t="shared" si="0"/>
        <v>69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>
        <v>46181</v>
      </c>
      <c r="D11" s="3" t="s">
        <v>29</v>
      </c>
      <c r="E11" s="5">
        <v>12238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46190</v>
      </c>
      <c r="D12" s="3" t="s">
        <v>286</v>
      </c>
      <c r="E12" s="5">
        <v>8000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46221</v>
      </c>
      <c r="D13" s="3" t="s">
        <v>29</v>
      </c>
      <c r="E13" s="5">
        <v>23923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>
        <v>46222</v>
      </c>
      <c r="D14" s="3" t="s">
        <v>305</v>
      </c>
      <c r="E14" s="9">
        <v>25000</v>
      </c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46154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297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46184</v>
      </c>
      <c r="H19" s="44">
        <v>350</v>
      </c>
      <c r="I19" s="47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46221</v>
      </c>
      <c r="H20" s="44">
        <v>90</v>
      </c>
      <c r="I20" s="47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46222</v>
      </c>
      <c r="H21" s="44"/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303</v>
      </c>
      <c r="F33" s="57">
        <f>H33*G33</f>
        <v>214247.6</v>
      </c>
      <c r="G33" s="57">
        <v>119</v>
      </c>
      <c r="H33" s="65">
        <v>1800.4</v>
      </c>
      <c r="I33" s="60">
        <v>216</v>
      </c>
      <c r="J33" s="139">
        <f>H33*I33</f>
        <v>388886.4</v>
      </c>
      <c r="K33" s="139"/>
      <c r="L33" s="83"/>
      <c r="M33" s="131"/>
      <c r="N33" s="15"/>
    </row>
    <row r="34" spans="2:14" x14ac:dyDescent="0.3">
      <c r="E34" s="15" t="s">
        <v>168</v>
      </c>
      <c r="F34" s="57">
        <f t="shared" ref="F34:F39" si="2">H34*G34</f>
        <v>375250</v>
      </c>
      <c r="G34" s="57">
        <v>95</v>
      </c>
      <c r="H34" s="65">
        <v>3950</v>
      </c>
      <c r="I34" s="60">
        <v>240</v>
      </c>
      <c r="J34" s="139">
        <f t="shared" ref="J34:J39" si="3">H34*I34</f>
        <v>948000</v>
      </c>
      <c r="K34" s="139"/>
      <c r="L34" s="83"/>
      <c r="M34" s="131"/>
      <c r="N34" s="15"/>
    </row>
    <row r="35" spans="2:14" x14ac:dyDescent="0.3">
      <c r="C35" s="122"/>
      <c r="E35" s="15" t="s">
        <v>224</v>
      </c>
      <c r="F35" s="57">
        <f t="shared" si="2"/>
        <v>45000</v>
      </c>
      <c r="G35" s="57">
        <v>90</v>
      </c>
      <c r="H35" s="65">
        <v>500</v>
      </c>
      <c r="I35" s="60">
        <v>240</v>
      </c>
      <c r="J35" s="139">
        <f t="shared" si="3"/>
        <v>120000</v>
      </c>
      <c r="K35" s="13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39">
        <f t="shared" si="3"/>
        <v>0</v>
      </c>
      <c r="K36" s="13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39">
        <f t="shared" si="3"/>
        <v>0</v>
      </c>
      <c r="K37" s="13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634497.6</v>
      </c>
      <c r="G40" s="58"/>
      <c r="H40" s="82">
        <f>SUM(H33:H39)</f>
        <v>6250.4</v>
      </c>
      <c r="I40" s="50"/>
      <c r="J40" s="140">
        <f>SUM(J33:J39)</f>
        <v>1456886.4</v>
      </c>
      <c r="K40" s="14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79.31%</v>
      </c>
      <c r="G41" s="15"/>
      <c r="H41" s="56"/>
      <c r="I41" s="15"/>
      <c r="J41" s="141"/>
      <c r="K41" s="141"/>
      <c r="L41" s="81" t="s">
        <v>89</v>
      </c>
      <c r="M41" s="101">
        <f>J40-M40</f>
        <v>1456886.4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>
        <f>F31-F40</f>
        <v>165502.40000000002</v>
      </c>
      <c r="E43" s="15">
        <v>95</v>
      </c>
      <c r="F43" s="126">
        <f>D43/E43</f>
        <v>1742.1305263157897</v>
      </c>
      <c r="G43" s="60">
        <v>240</v>
      </c>
      <c r="H43" s="97">
        <f>F43*G43</f>
        <v>418111.32631578954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291</v>
      </c>
      <c r="C1" s="157"/>
      <c r="D1" s="157"/>
      <c r="E1" s="157"/>
      <c r="F1" s="158"/>
      <c r="G1" s="16" t="s">
        <v>25</v>
      </c>
      <c r="H1" s="146"/>
      <c r="I1" s="147"/>
      <c r="J1" s="17" t="s">
        <v>15</v>
      </c>
      <c r="K1" s="159">
        <f>M2-E2</f>
        <v>0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0</v>
      </c>
      <c r="F2" s="20"/>
      <c r="G2" s="31" t="s">
        <v>32</v>
      </c>
      <c r="H2" s="148" t="str">
        <f ca="1">IF(ISBLANK(H1),"0 Days",CONCATENATE(_xlfn.DAYS(TODAY(), H1-1)," days"))</f>
        <v>0 Days</v>
      </c>
      <c r="I2" s="163"/>
      <c r="J2" s="37"/>
      <c r="K2" s="10"/>
      <c r="L2" s="11" t="s">
        <v>14</v>
      </c>
      <c r="M2" s="12">
        <f>SUM(M5:M22)</f>
        <v>0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/>
      <c r="D5" s="26"/>
      <c r="E5" s="9"/>
      <c r="F5" s="23"/>
      <c r="G5" s="43"/>
      <c r="H5" s="44"/>
      <c r="I5" s="47" t="str">
        <f>IF(ISBLANK(G5),"",CONCATENATE(G5-$H$1+1," days"))</f>
        <v/>
      </c>
      <c r="J5" s="21">
        <v>1</v>
      </c>
      <c r="K5" s="43"/>
      <c r="L5" s="3"/>
      <c r="M5" s="5"/>
      <c r="N5" s="22"/>
    </row>
    <row r="6" spans="2:14" x14ac:dyDescent="0.3">
      <c r="B6" s="40">
        <v>2</v>
      </c>
      <c r="C6" s="7"/>
      <c r="D6" s="3"/>
      <c r="E6" s="5"/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0">
        <v>3</v>
      </c>
      <c r="C7" s="7"/>
      <c r="D7" s="3"/>
      <c r="E7" s="5"/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/>
      <c r="D8" s="3"/>
      <c r="E8" s="5"/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3"/>
      <c r="E9" s="9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/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tr">
        <f ca="1">IF(ISBLANK(H15),"0 Days",CONCATENATE(_xlfn.DAYS(TODAY(), H1-1)," days"))</f>
        <v>0 Days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0</v>
      </c>
      <c r="G31" s="90" t="s">
        <v>186</v>
      </c>
      <c r="H31" s="84"/>
      <c r="I31" s="59" t="s">
        <v>187</v>
      </c>
      <c r="J31" s="84"/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/>
      <c r="F33" s="57">
        <f>H33*G33</f>
        <v>0</v>
      </c>
      <c r="G33" s="57"/>
      <c r="H33" s="65"/>
      <c r="I33" s="60"/>
      <c r="J33" s="139">
        <f>H33*I33</f>
        <v>0</v>
      </c>
      <c r="K33" s="139"/>
      <c r="L33" s="83"/>
      <c r="M33" s="131"/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39">
        <f t="shared" ref="J34:J39" si="3">H34*I34</f>
        <v>0</v>
      </c>
      <c r="K34" s="13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39">
        <f t="shared" si="3"/>
        <v>0</v>
      </c>
      <c r="K35" s="13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39">
        <f t="shared" si="3"/>
        <v>0</v>
      </c>
      <c r="K36" s="13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39">
        <f t="shared" si="3"/>
        <v>0</v>
      </c>
      <c r="K37" s="13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0</v>
      </c>
      <c r="G40" s="58"/>
      <c r="H40" s="82">
        <f>SUM(H33:H39)</f>
        <v>0</v>
      </c>
      <c r="I40" s="50"/>
      <c r="J40" s="140">
        <f>SUM(J33:J39)</f>
        <v>0</v>
      </c>
      <c r="K40" s="14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e">
        <f>CONCATENATE(ROUND((F40/F31)*100,2),"%")</f>
        <v>#DIV/0!</v>
      </c>
      <c r="G41" s="15"/>
      <c r="H41" s="56"/>
      <c r="I41" s="15"/>
      <c r="J41" s="141"/>
      <c r="K41" s="141"/>
      <c r="L41" s="81" t="s">
        <v>89</v>
      </c>
      <c r="M41" s="101">
        <f>J40-M40</f>
        <v>0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>
        <f>F31-F40</f>
        <v>0</v>
      </c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J8" sqref="J8"/>
    </sheetView>
  </sheetViews>
  <sheetFormatPr defaultRowHeight="14.4" x14ac:dyDescent="0.3"/>
  <cols>
    <col min="1" max="1" width="3.5546875" style="85" customWidth="1"/>
    <col min="2" max="2" width="18.5546875" style="124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33203125" bestFit="1" customWidth="1"/>
    <col min="9" max="9" width="10.33203125" hidden="1" customWidth="1"/>
    <col min="10" max="11" width="9.5546875" bestFit="1" customWidth="1"/>
    <col min="12" max="12" width="12.44140625" bestFit="1" customWidth="1"/>
    <col min="13" max="13" width="14.21875" bestFit="1" customWidth="1"/>
    <col min="17" max="17" width="6" customWidth="1"/>
    <col min="18" max="18" width="5.5546875" customWidth="1"/>
    <col min="19" max="19" width="12.44140625" bestFit="1" customWidth="1"/>
    <col min="20" max="20" width="15" bestFit="1" customWidth="1"/>
    <col min="21" max="21" width="9.6640625" customWidth="1"/>
    <col min="22" max="22" width="8.33203125" customWidth="1"/>
  </cols>
  <sheetData>
    <row r="1" spans="1:22" x14ac:dyDescent="0.3">
      <c r="A1" s="206" t="s">
        <v>0</v>
      </c>
      <c r="B1" s="207" t="s">
        <v>238</v>
      </c>
      <c r="C1" s="208" t="s">
        <v>96</v>
      </c>
      <c r="D1" s="209" t="s">
        <v>15</v>
      </c>
      <c r="E1" s="208" t="s">
        <v>37</v>
      </c>
      <c r="F1" s="209" t="s">
        <v>36</v>
      </c>
      <c r="G1" s="209" t="s">
        <v>26</v>
      </c>
      <c r="H1" s="206" t="s">
        <v>32</v>
      </c>
      <c r="I1" s="210"/>
      <c r="J1" s="211" t="s">
        <v>19</v>
      </c>
      <c r="K1" s="211" t="s">
        <v>298</v>
      </c>
      <c r="L1" s="211" t="s">
        <v>299</v>
      </c>
      <c r="M1" s="205"/>
      <c r="U1" s="184"/>
      <c r="V1" s="184"/>
    </row>
    <row r="2" spans="1:22" x14ac:dyDescent="0.3">
      <c r="A2" s="195">
        <v>1</v>
      </c>
      <c r="B2" s="196" t="str">
        <f>'Term-1'!$B$1</f>
        <v>May2023 - Sept2023</v>
      </c>
      <c r="C2" s="197" t="s">
        <v>97</v>
      </c>
      <c r="D2" s="198">
        <f>IF(F2="","",E2-F2)</f>
        <v>-790524</v>
      </c>
      <c r="E2" s="199">
        <f>'Term-1'!$M$2</f>
        <v>1260400</v>
      </c>
      <c r="F2" s="199">
        <f>'Term-1'!$E$2</f>
        <v>2050924</v>
      </c>
      <c r="G2" s="200">
        <f>MIN('Term-1'!H5:H11)</f>
        <v>80</v>
      </c>
      <c r="H2" s="201" t="str" cm="1">
        <f t="array" ref="H2:I2">'Term-1'!H2:I2</f>
        <v>75 days</v>
      </c>
      <c r="I2">
        <v>0</v>
      </c>
      <c r="J2" s="202">
        <f>'Term-1'!$F$31</f>
        <v>700000</v>
      </c>
      <c r="K2" s="202">
        <f>'Term-1'!$F$40</f>
        <v>424400</v>
      </c>
      <c r="L2" s="203" t="str">
        <f>'Term-1'!$F$41</f>
        <v>60.63%</v>
      </c>
    </row>
    <row r="3" spans="1:22" x14ac:dyDescent="0.3">
      <c r="A3" s="185">
        <v>2</v>
      </c>
      <c r="B3" s="186" t="str">
        <f>'Term-2'!$B$1</f>
        <v>Sept2023 - Nov2023</v>
      </c>
      <c r="C3" s="187" t="s">
        <v>98</v>
      </c>
      <c r="D3" s="188">
        <f t="shared" ref="D3:D7" si="0">IF(F3="","",E3-F3)</f>
        <v>-218110</v>
      </c>
      <c r="E3" s="189">
        <f>'Term-2'!$M$2</f>
        <v>300000</v>
      </c>
      <c r="F3" s="189">
        <f>'Term-2'!$E$2</f>
        <v>518110</v>
      </c>
      <c r="G3" s="190">
        <f>MIN('Term-2'!H5:H11)</f>
        <v>325</v>
      </c>
      <c r="H3" s="191" t="str" cm="1">
        <f t="array" ref="H3:I3">'Term-2'!H2:I2</f>
        <v>27 days</v>
      </c>
      <c r="I3" s="192">
        <v>0</v>
      </c>
      <c r="J3" s="193">
        <f>'Term-2'!$F$31</f>
        <v>800000</v>
      </c>
      <c r="K3" s="193">
        <f>'Term-2'!$F$40</f>
        <v>620000</v>
      </c>
      <c r="L3" s="194" t="str">
        <f>'Term-2'!$F$41</f>
        <v>77.5%</v>
      </c>
    </row>
    <row r="4" spans="1:22" x14ac:dyDescent="0.3">
      <c r="A4" s="86">
        <v>3</v>
      </c>
      <c r="B4" s="123" t="str">
        <f>'Term-3'!$B$1</f>
        <v>Nov2023 - Jan2024</v>
      </c>
      <c r="C4" s="8" t="s">
        <v>99</v>
      </c>
      <c r="D4" s="93">
        <f t="shared" si="0"/>
        <v>-470000</v>
      </c>
      <c r="E4" s="87">
        <f>'Term-3'!$M$2</f>
        <v>120000</v>
      </c>
      <c r="F4" s="87">
        <f>'Term-3'!$E$2</f>
        <v>590000</v>
      </c>
      <c r="G4" s="136">
        <f>MIN('Term-3'!H5:H11)</f>
        <v>325</v>
      </c>
      <c r="H4" s="135" t="str" cm="1">
        <f t="array" ref="H4:I4">'Term-3'!H2:I2</f>
        <v>37 days</v>
      </c>
      <c r="I4">
        <v>0</v>
      </c>
      <c r="J4" s="182">
        <f>'Term-3'!$F$31</f>
        <v>700000</v>
      </c>
      <c r="K4" s="182">
        <f>'Term-3'!$F$40</f>
        <v>390000</v>
      </c>
      <c r="L4" s="183" t="str">
        <f>'Term-3'!$F$41</f>
        <v>55.71%</v>
      </c>
    </row>
    <row r="5" spans="1:22" x14ac:dyDescent="0.3">
      <c r="A5" s="185">
        <v>4</v>
      </c>
      <c r="B5" s="186" t="str">
        <f>'Term-4'!$B$1</f>
        <v>Feb2024 - May2024</v>
      </c>
      <c r="C5" s="187" t="s">
        <v>100</v>
      </c>
      <c r="D5" s="188">
        <f t="shared" si="0"/>
        <v>1098545</v>
      </c>
      <c r="E5" s="189">
        <f>'Term-4'!$M$2</f>
        <v>2700044</v>
      </c>
      <c r="F5" s="189">
        <f>'Term-4'!$E$2</f>
        <v>1601499</v>
      </c>
      <c r="G5" s="190">
        <f>MIN('Term-4'!H5:H11)</f>
        <v>62</v>
      </c>
      <c r="H5" s="191" t="str" cm="1">
        <f t="array" ref="H5:I5">'Term-4'!H2:I2</f>
        <v>72 days</v>
      </c>
      <c r="I5" s="192">
        <v>0</v>
      </c>
      <c r="J5" s="193">
        <f>'Term-4'!$F$31</f>
        <v>700000</v>
      </c>
      <c r="K5" s="193">
        <f>'Term-4'!$F$40</f>
        <v>807868</v>
      </c>
      <c r="L5" s="194" t="str">
        <f>'Term-4'!$F$41</f>
        <v>115.41%</v>
      </c>
    </row>
    <row r="6" spans="1:22" x14ac:dyDescent="0.3">
      <c r="A6" s="86">
        <v>5</v>
      </c>
      <c r="B6" s="123" t="str">
        <f>'Term-5'!$B$1</f>
        <v>July 2024 - Sept2024</v>
      </c>
      <c r="C6" s="8" t="s">
        <v>101</v>
      </c>
      <c r="D6" s="93">
        <f t="shared" si="0"/>
        <v>391120</v>
      </c>
      <c r="E6" s="87">
        <f>'Term-5'!$M$2</f>
        <v>1612322</v>
      </c>
      <c r="F6" s="87">
        <f>'Term-5'!$E$2</f>
        <v>1221202</v>
      </c>
      <c r="G6" s="136">
        <f>MIN('Term-5'!H5:H11)</f>
        <v>110</v>
      </c>
      <c r="H6" s="135" t="str" cm="1">
        <f t="array" ref="H6:I6">'Term-5'!H2:I2</f>
        <v>58 days</v>
      </c>
      <c r="I6">
        <v>0</v>
      </c>
      <c r="J6" s="182">
        <f>'Term-5'!$F$31</f>
        <v>750000</v>
      </c>
      <c r="K6" s="182">
        <f>'Term-5'!$F$40</f>
        <v>696542.20000000007</v>
      </c>
      <c r="L6" s="183" t="str">
        <f>'Term-5'!$F$41</f>
        <v>92.87%</v>
      </c>
    </row>
    <row r="7" spans="1:22" x14ac:dyDescent="0.3">
      <c r="A7" s="185">
        <v>6</v>
      </c>
      <c r="B7" s="186" t="str">
        <f>'Term-6'!$B$1</f>
        <v>Sep2024 - Nov2024</v>
      </c>
      <c r="C7" s="187" t="s">
        <v>102</v>
      </c>
      <c r="D7" s="188">
        <f t="shared" si="0"/>
        <v>1002304</v>
      </c>
      <c r="E7" s="189">
        <f>'Term-6'!$M$2</f>
        <v>2415103</v>
      </c>
      <c r="F7" s="189">
        <f>'Term-6'!$E$2</f>
        <v>1412799</v>
      </c>
      <c r="G7" s="190">
        <f>MIN('Term-6'!H5:H11)</f>
        <v>65</v>
      </c>
      <c r="H7" s="191" t="str" cm="1">
        <f t="array" ref="H7:I7">'Term-6'!H2:I2</f>
        <v>73 days</v>
      </c>
      <c r="I7" s="192">
        <v>0</v>
      </c>
      <c r="J7" s="193">
        <f>'Term-6'!$F$31</f>
        <v>700000</v>
      </c>
      <c r="K7" s="193">
        <f>'Term-6'!$F$40</f>
        <v>526058.6</v>
      </c>
      <c r="L7" s="194" t="str">
        <f>'Term-6'!$F$41</f>
        <v>75.15%</v>
      </c>
    </row>
    <row r="8" spans="1:22" x14ac:dyDescent="0.3">
      <c r="A8" s="86">
        <v>7</v>
      </c>
      <c r="B8" s="123" t="str">
        <f>'Term-7'!$B$1</f>
        <v>Dec2024 - Feb2025</v>
      </c>
      <c r="C8" s="8" t="s">
        <v>115</v>
      </c>
      <c r="D8" s="93">
        <f t="shared" ref="D8:D10" si="1">IF(F8="","",E8-F8)</f>
        <v>528979</v>
      </c>
      <c r="E8" s="87">
        <f>'Term-7'!$M$2</f>
        <v>2031828</v>
      </c>
      <c r="F8" s="87">
        <f>'Term-7'!$E$2</f>
        <v>1502849</v>
      </c>
      <c r="G8" s="136">
        <f>MIN('Term-7'!H5:H11)</f>
        <v>97</v>
      </c>
      <c r="H8" s="135" t="str" cm="1">
        <f t="array" ref="H8:I8">'Term-7'!H2:I2</f>
        <v>79 days</v>
      </c>
      <c r="I8">
        <v>0</v>
      </c>
      <c r="J8" s="182">
        <f>'Term-7'!$F$31</f>
        <v>925000</v>
      </c>
      <c r="K8" s="182">
        <f>'Term-7'!$F$40</f>
        <v>842685</v>
      </c>
      <c r="L8" s="183" t="str">
        <f>'Term-7'!$F$41</f>
        <v>91.1%</v>
      </c>
    </row>
    <row r="9" spans="1:22" x14ac:dyDescent="0.3">
      <c r="A9" s="185">
        <v>8</v>
      </c>
      <c r="B9" s="186" t="str">
        <f>'Term-8'!$B$1</f>
        <v>Feb2025 - May2025</v>
      </c>
      <c r="C9" s="187" t="s">
        <v>155</v>
      </c>
      <c r="D9" s="188">
        <f t="shared" si="1"/>
        <v>405496</v>
      </c>
      <c r="E9" s="189">
        <f>'Term-8'!$M$2</f>
        <v>1791690</v>
      </c>
      <c r="F9" s="189">
        <f>'Term-8'!$E$2</f>
        <v>1386194</v>
      </c>
      <c r="G9" s="190">
        <f>MIN('Term-8'!H5:H11)</f>
        <v>67</v>
      </c>
      <c r="H9" s="191" t="str" cm="1">
        <f t="array" ref="H9:I9">'Term-8'!H2:I2</f>
        <v>78 days</v>
      </c>
      <c r="I9" s="192">
        <v>0</v>
      </c>
      <c r="J9" s="193">
        <f>'Term-8'!$F$31</f>
        <v>850000</v>
      </c>
      <c r="K9" s="193">
        <f>'Term-8'!$F$40</f>
        <v>587290.30000000005</v>
      </c>
      <c r="L9" s="194" t="str">
        <f>'Term-8'!$F$41</f>
        <v>69.09%</v>
      </c>
    </row>
    <row r="10" spans="1:22" x14ac:dyDescent="0.3">
      <c r="A10" s="86">
        <v>9</v>
      </c>
      <c r="B10" s="123" t="str">
        <f>'Term-9'!$B$1</f>
        <v>July2025 - Sept2025</v>
      </c>
      <c r="C10" s="8" t="s">
        <v>170</v>
      </c>
      <c r="D10" s="93">
        <f t="shared" si="1"/>
        <v>1125929.5</v>
      </c>
      <c r="E10" s="87">
        <f>'Term-9'!$M$2</f>
        <v>2535929.5</v>
      </c>
      <c r="F10" s="87">
        <f>'Term-9'!$E$2</f>
        <v>1410000</v>
      </c>
      <c r="G10" s="136">
        <f>MIN('Term-9'!H5:H13)</f>
        <v>78</v>
      </c>
      <c r="H10" s="135" t="str" cm="1">
        <f t="array" ref="H10:I10">'Term-9'!H2:I2</f>
        <v>62 days</v>
      </c>
      <c r="I10">
        <v>0</v>
      </c>
      <c r="J10" s="182">
        <f>'Term-9'!$F$31</f>
        <v>1050000</v>
      </c>
      <c r="K10" s="182">
        <f>'Term-9'!$F$40</f>
        <v>766370</v>
      </c>
      <c r="L10" s="183" t="str">
        <f>'Term-9'!$F$41</f>
        <v>72.99%</v>
      </c>
    </row>
    <row r="11" spans="1:22" x14ac:dyDescent="0.3">
      <c r="A11" s="185">
        <v>10</v>
      </c>
      <c r="B11" s="186" t="str">
        <f>'Term-10'!$B$1</f>
        <v>Sept2025 - Dec2025</v>
      </c>
      <c r="C11" s="187" t="s">
        <v>201</v>
      </c>
      <c r="D11" s="188">
        <f t="shared" ref="D11" si="2">IF(F11="","",E11-F11)</f>
        <v>979350</v>
      </c>
      <c r="E11" s="189">
        <f>'Term-10'!$M$2</f>
        <v>2530350</v>
      </c>
      <c r="F11" s="189">
        <f>'Term-10'!$E$2</f>
        <v>1551000</v>
      </c>
      <c r="G11" s="190">
        <f>MIN('Term-10'!H5:H13)</f>
        <v>58</v>
      </c>
      <c r="H11" s="191" t="str" cm="1">
        <f t="array" ref="H11:I11">'Term-10'!H2:I2</f>
        <v>78 days</v>
      </c>
      <c r="I11" s="192">
        <v>0</v>
      </c>
      <c r="J11" s="193">
        <f>'Term-10'!$F$31</f>
        <v>900000</v>
      </c>
      <c r="K11" s="193">
        <f>'Term-10'!$F$40</f>
        <v>593783</v>
      </c>
      <c r="L11" s="194" t="str">
        <f>'Term-10'!$F$41</f>
        <v>65.98%</v>
      </c>
    </row>
    <row r="12" spans="1:22" x14ac:dyDescent="0.3">
      <c r="A12" s="86">
        <v>11</v>
      </c>
      <c r="B12" s="123" t="str">
        <f>'Term-11'!$B$1</f>
        <v>Dec2025 - Jan2026</v>
      </c>
      <c r="C12" s="8" t="s">
        <v>226</v>
      </c>
      <c r="D12" s="93">
        <f t="shared" ref="D12" si="3">IF(F12="","",E12-F12)</f>
        <v>-469722.5</v>
      </c>
      <c r="E12" s="87">
        <f>'Term-11'!$M$2</f>
        <v>115277.5</v>
      </c>
      <c r="F12" s="87">
        <f>'Term-11'!$E$2</f>
        <v>585000</v>
      </c>
      <c r="G12" s="136">
        <f>MIN('Term-11'!H5:H13)</f>
        <v>518</v>
      </c>
      <c r="H12" s="135" t="str" cm="1">
        <f t="array" ref="H12:I12">'Term-11'!H2:I2</f>
        <v>34 days</v>
      </c>
      <c r="I12">
        <v>0</v>
      </c>
      <c r="J12" s="182">
        <f>'Term-11'!$F$31</f>
        <v>990000</v>
      </c>
      <c r="K12" s="182">
        <f>'Term-11'!$F$40</f>
        <v>918673</v>
      </c>
      <c r="L12" s="183" t="str">
        <f>'Term-11'!$F$41</f>
        <v>92.8%</v>
      </c>
      <c r="O12" s="204"/>
    </row>
    <row r="13" spans="1:22" x14ac:dyDescent="0.3">
      <c r="A13" s="185">
        <v>12</v>
      </c>
      <c r="B13" s="186" t="str">
        <f>'Term-12'!$B$1</f>
        <v>Feb2026 - Apr2026</v>
      </c>
      <c r="C13" s="187" t="s">
        <v>252</v>
      </c>
      <c r="D13" s="188">
        <f t="shared" ref="D13" si="4">IF(F13="","",E13-F13)</f>
        <v>610376</v>
      </c>
      <c r="E13" s="189">
        <f>'Term-12'!$M$2</f>
        <v>2189276</v>
      </c>
      <c r="F13" s="189">
        <f>'Term-12'!$E$2</f>
        <v>1578900</v>
      </c>
      <c r="G13" s="190">
        <f>MIN('Term-12'!H6:H14)</f>
        <v>121</v>
      </c>
      <c r="H13" s="191" t="str" cm="1">
        <f t="array" ref="H13:I13">'Term-12'!H2:I2</f>
        <v>71 days</v>
      </c>
      <c r="I13" s="192">
        <v>0</v>
      </c>
      <c r="J13" s="193">
        <f>'Term-12'!$F$31</f>
        <v>800000</v>
      </c>
      <c r="K13" s="193">
        <f>'Term-12'!$F$40</f>
        <v>1052129.2</v>
      </c>
      <c r="L13" s="194" t="str">
        <f>'Term-12'!$F$41</f>
        <v>131.52%</v>
      </c>
    </row>
    <row r="14" spans="1:22" x14ac:dyDescent="0.3">
      <c r="A14" s="86">
        <v>13</v>
      </c>
      <c r="B14" s="123" t="str">
        <f>'Term-13'!$B$1</f>
        <v>May2026 - July2026</v>
      </c>
      <c r="C14" s="8" t="s">
        <v>281</v>
      </c>
      <c r="D14" s="93">
        <f t="shared" ref="D14" si="5">IF(F14="","",E14-F14)</f>
        <v>-11227.600000000093</v>
      </c>
      <c r="E14" s="87">
        <f>'Term-13'!$M$2</f>
        <v>1456886.4</v>
      </c>
      <c r="F14" s="87">
        <f>'Term-13'!$E$2</f>
        <v>1468114</v>
      </c>
      <c r="G14" s="136">
        <f>MIN('Term-13'!H6:H14)</f>
        <v>95</v>
      </c>
      <c r="H14" s="135" t="str" cm="1">
        <f t="array" ref="H14:I14">'Term-13'!H2:I2</f>
        <v>69 days</v>
      </c>
      <c r="I14">
        <v>0</v>
      </c>
      <c r="J14" s="182">
        <f>'Term-13'!$F$31</f>
        <v>800000</v>
      </c>
      <c r="K14" s="182">
        <f>'Term-13'!$F$40</f>
        <v>634497.6</v>
      </c>
      <c r="L14" s="183" t="str">
        <f>'Term-13'!$F$41</f>
        <v>79.31%</v>
      </c>
    </row>
    <row r="15" spans="1:22" x14ac:dyDescent="0.3">
      <c r="A15" s="185">
        <v>14</v>
      </c>
      <c r="B15" s="186" t="str">
        <f>'Term-13'!$B$1</f>
        <v>May2026 - July2026</v>
      </c>
      <c r="C15" s="187" t="s">
        <v>292</v>
      </c>
      <c r="D15" s="188">
        <f t="shared" ref="D15" si="6">IF(F15="","",E15-F15)</f>
        <v>0</v>
      </c>
      <c r="E15" s="189">
        <f>'Term-14'!$M$2</f>
        <v>0</v>
      </c>
      <c r="F15" s="189">
        <f>'Term-14'!$E$2</f>
        <v>0</v>
      </c>
      <c r="G15" s="190">
        <f>MIN('Term-14'!H6:H14)</f>
        <v>0</v>
      </c>
      <c r="H15" s="191" t="str" cm="1">
        <f t="array" aca="1" ref="H15:I15" ca="1">'Term-14'!H2:I2</f>
        <v>0 Days</v>
      </c>
      <c r="I15" s="192">
        <f ca="1"/>
        <v>0</v>
      </c>
      <c r="J15" s="193">
        <f>'Term-14'!$F$31</f>
        <v>0</v>
      </c>
      <c r="K15" s="193">
        <f>'Term-14'!$F$40</f>
        <v>0</v>
      </c>
      <c r="L15" s="194" t="e">
        <f>'Term-14'!$F$41</f>
        <v>#DIV/0!</v>
      </c>
    </row>
    <row r="16" spans="1:22" x14ac:dyDescent="0.3">
      <c r="A16" s="86">
        <v>15</v>
      </c>
      <c r="B16" s="123"/>
      <c r="C16" s="8"/>
      <c r="D16" s="93"/>
      <c r="E16" s="87"/>
      <c r="F16" s="87"/>
      <c r="G16" s="136"/>
      <c r="H16" s="135"/>
      <c r="J16" s="182"/>
      <c r="K16" s="104"/>
      <c r="L16" s="183"/>
    </row>
    <row r="17" spans="1:12" x14ac:dyDescent="0.3">
      <c r="A17" s="86">
        <v>16</v>
      </c>
      <c r="B17" s="123"/>
      <c r="C17" s="8"/>
      <c r="D17" s="93"/>
      <c r="E17" s="87"/>
      <c r="F17" s="87"/>
      <c r="G17" s="136"/>
      <c r="H17" s="135"/>
      <c r="J17" s="182"/>
      <c r="K17" s="104"/>
      <c r="L17" s="183"/>
    </row>
    <row r="18" spans="1:12" x14ac:dyDescent="0.3">
      <c r="A18" s="86">
        <v>17</v>
      </c>
      <c r="B18" s="123"/>
      <c r="C18" s="8"/>
      <c r="D18" s="93"/>
      <c r="E18" s="87"/>
      <c r="F18" s="104"/>
      <c r="G18" s="136"/>
      <c r="H18" s="86"/>
      <c r="J18" s="182"/>
      <c r="K18" s="104"/>
      <c r="L18" s="183"/>
    </row>
    <row r="19" spans="1:12" x14ac:dyDescent="0.3">
      <c r="A19" s="86">
        <v>18</v>
      </c>
      <c r="B19" s="123"/>
      <c r="C19" s="8"/>
      <c r="D19" s="93"/>
      <c r="E19" s="87"/>
      <c r="F19" s="87"/>
      <c r="G19" s="136"/>
      <c r="H19" s="135"/>
      <c r="J19" s="182"/>
      <c r="K19" s="104"/>
      <c r="L19" s="183"/>
    </row>
    <row r="20" spans="1:12" x14ac:dyDescent="0.3">
      <c r="A20" s="86">
        <v>19</v>
      </c>
      <c r="B20" s="123"/>
      <c r="C20" s="8"/>
      <c r="D20" s="93"/>
      <c r="E20" s="87"/>
      <c r="F20" s="87"/>
      <c r="G20" s="136"/>
      <c r="H20" s="135"/>
      <c r="J20" s="182"/>
      <c r="K20" s="104"/>
      <c r="L20" s="183"/>
    </row>
    <row r="21" spans="1:12" x14ac:dyDescent="0.3">
      <c r="A21" s="86">
        <v>20</v>
      </c>
      <c r="B21" s="123"/>
      <c r="C21" s="8"/>
      <c r="D21" s="93"/>
      <c r="E21" s="87"/>
      <c r="F21" s="87"/>
      <c r="G21" s="136"/>
      <c r="H21" s="135"/>
      <c r="J21" s="182"/>
      <c r="K21" s="104"/>
      <c r="L21" s="183"/>
    </row>
    <row r="22" spans="1:12" x14ac:dyDescent="0.3">
      <c r="A22" s="86">
        <v>21</v>
      </c>
      <c r="B22" s="123"/>
      <c r="C22" s="8"/>
      <c r="D22" s="93"/>
      <c r="E22" s="87"/>
      <c r="F22" s="87"/>
      <c r="G22" s="136"/>
      <c r="H22" s="135"/>
      <c r="J22" s="182"/>
      <c r="K22" s="104"/>
      <c r="L22" s="183"/>
    </row>
    <row r="23" spans="1:12" x14ac:dyDescent="0.3">
      <c r="A23" s="86">
        <v>22</v>
      </c>
      <c r="B23" s="123"/>
      <c r="C23" s="8"/>
      <c r="D23" s="93"/>
      <c r="E23" s="87"/>
      <c r="F23" s="87"/>
      <c r="G23" s="136"/>
      <c r="H23" s="135"/>
      <c r="J23" s="182"/>
      <c r="K23" s="104"/>
      <c r="L23" s="183"/>
    </row>
    <row r="24" spans="1:12" x14ac:dyDescent="0.3">
      <c r="A24" s="86">
        <v>23</v>
      </c>
      <c r="B24" s="123"/>
      <c r="C24" s="8"/>
      <c r="D24" s="93"/>
      <c r="E24" s="87"/>
      <c r="F24" s="87"/>
      <c r="G24" s="136"/>
      <c r="H24" s="135"/>
      <c r="J24" s="182"/>
      <c r="K24" s="104"/>
      <c r="L24" s="183"/>
    </row>
    <row r="25" spans="1:12" x14ac:dyDescent="0.3">
      <c r="A25" s="172" t="s">
        <v>103</v>
      </c>
      <c r="B25" s="173"/>
      <c r="C25" s="174"/>
      <c r="D25" s="9">
        <f>SUM(D2:D24)</f>
        <v>4182515.4</v>
      </c>
      <c r="E25" s="87">
        <f>SUM(E2:E24)</f>
        <v>21059106.399999999</v>
      </c>
      <c r="F25" s="87">
        <f>SUM(F2:F24)</f>
        <v>16876591</v>
      </c>
      <c r="G25" s="136"/>
      <c r="H25" s="87"/>
      <c r="J25" s="104"/>
      <c r="K25" s="104"/>
      <c r="L25" s="104"/>
    </row>
    <row r="27" spans="1:12" x14ac:dyDescent="0.3">
      <c r="B27" s="133" t="s">
        <v>235</v>
      </c>
    </row>
    <row r="28" spans="1:12" x14ac:dyDescent="0.3">
      <c r="A28" s="88" t="s">
        <v>0</v>
      </c>
      <c r="B28" s="89" t="s">
        <v>236</v>
      </c>
      <c r="C28" s="92" t="s">
        <v>237</v>
      </c>
      <c r="D28" s="91" t="s">
        <v>15</v>
      </c>
    </row>
    <row r="29" spans="1:12" x14ac:dyDescent="0.3">
      <c r="A29" s="86">
        <v>1</v>
      </c>
      <c r="B29" s="123">
        <v>2023</v>
      </c>
      <c r="C29" s="104">
        <f>COUNTIF(C2:C4, "*")</f>
        <v>3</v>
      </c>
      <c r="D29" s="87">
        <f>SUM(D2:D4)</f>
        <v>-1478634</v>
      </c>
    </row>
    <row r="30" spans="1:12" x14ac:dyDescent="0.3">
      <c r="A30" s="86">
        <v>2</v>
      </c>
      <c r="B30" s="123">
        <v>2024</v>
      </c>
      <c r="C30" s="104">
        <f>COUNTIF(C5:C7, "*")</f>
        <v>3</v>
      </c>
      <c r="D30" s="87">
        <f>SUM(D5:D7)</f>
        <v>2491969</v>
      </c>
    </row>
    <row r="31" spans="1:12" x14ac:dyDescent="0.3">
      <c r="A31" s="86">
        <v>3</v>
      </c>
      <c r="B31" s="123">
        <v>2025</v>
      </c>
      <c r="C31" s="104">
        <f>COUNTIF(C8:C12, "*")</f>
        <v>5</v>
      </c>
      <c r="D31" s="87">
        <f>SUM(D8:D11)</f>
        <v>3039754.5</v>
      </c>
    </row>
    <row r="32" spans="1:12" x14ac:dyDescent="0.3">
      <c r="A32" s="86">
        <v>4</v>
      </c>
      <c r="B32" s="123">
        <v>2026</v>
      </c>
      <c r="C32" s="104">
        <f>COUNTIF(C13:C16, "*")</f>
        <v>3</v>
      </c>
      <c r="D32" s="87">
        <f>SUM(D12:D15)</f>
        <v>129425.89999999991</v>
      </c>
    </row>
    <row r="33" spans="1:4" x14ac:dyDescent="0.3">
      <c r="A33" s="86">
        <v>5</v>
      </c>
      <c r="B33" s="123">
        <v>2027</v>
      </c>
      <c r="C33" s="104"/>
      <c r="D33" s="104"/>
    </row>
    <row r="34" spans="1:4" x14ac:dyDescent="0.3">
      <c r="A34" s="86">
        <v>6</v>
      </c>
      <c r="B34" s="123">
        <v>2028</v>
      </c>
      <c r="C34" s="104"/>
      <c r="D34" s="104"/>
    </row>
    <row r="35" spans="1:4" x14ac:dyDescent="0.3">
      <c r="A35" s="134"/>
      <c r="B35" s="8" t="s">
        <v>61</v>
      </c>
      <c r="C35" s="8">
        <f>SUM(C29:C34)</f>
        <v>14</v>
      </c>
      <c r="D35" s="9">
        <f>SUM(D29:D34)</f>
        <v>4182515.4</v>
      </c>
    </row>
  </sheetData>
  <mergeCells count="1">
    <mergeCell ref="A25:C25"/>
  </mergeCells>
  <phoneticPr fontId="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1A15-D537-4C11-9349-148721BDD652}">
  <dimension ref="A1:N1"/>
  <sheetViews>
    <sheetView zoomScale="104" zoomScaleNormal="110" workbookViewId="0">
      <pane ySplit="1" topLeftCell="A2" activePane="bottomLeft" state="frozen"/>
      <selection pane="bottomLeft" activeCell="T33" sqref="T33"/>
    </sheetView>
  </sheetViews>
  <sheetFormatPr defaultRowHeight="14.4" x14ac:dyDescent="0.3"/>
  <cols>
    <col min="1" max="1" width="10.33203125" customWidth="1"/>
    <col min="4" max="4" width="14.88671875" bestFit="1" customWidth="1"/>
    <col min="9" max="9" width="6" customWidth="1"/>
    <col min="10" max="10" width="5.5546875" customWidth="1"/>
    <col min="12" max="12" width="15" bestFit="1" customWidth="1"/>
    <col min="13" max="13" width="9.6640625" customWidth="1"/>
    <col min="14" max="14" width="0.44140625" customWidth="1"/>
  </cols>
  <sheetData>
    <row r="1" spans="1:14" x14ac:dyDescent="0.3">
      <c r="A1" s="178" t="s">
        <v>118</v>
      </c>
      <c r="B1" s="178"/>
      <c r="C1" s="178"/>
      <c r="D1" s="178"/>
      <c r="E1" s="179"/>
      <c r="F1" s="175" t="str">
        <f ca="1">DATEDIF(L1,TODAY(),"y")&amp;" year, "&amp;DATEDIF(L1,TODAY(),"ym")&amp;" months, "&amp;TODAY()-DATE(YEAR(TODAY()),MONTH(TODAY()),1)&amp;" days"</f>
        <v>3 year, 3 months, 18 days</v>
      </c>
      <c r="G1" s="176"/>
      <c r="H1" s="176"/>
      <c r="I1" s="176"/>
      <c r="J1" s="177"/>
      <c r="K1" s="8" t="s">
        <v>117</v>
      </c>
      <c r="L1" s="100">
        <v>45023</v>
      </c>
      <c r="M1" s="8"/>
      <c r="N1" s="8"/>
    </row>
  </sheetData>
  <mergeCells count="2">
    <mergeCell ref="A1:E1"/>
    <mergeCell ref="F1:J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E13" sqref="E13"/>
    </sheetView>
  </sheetViews>
  <sheetFormatPr defaultRowHeight="14.4" x14ac:dyDescent="0.3"/>
  <cols>
    <col min="1" max="1" width="2" style="85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2" t="s">
        <v>0</v>
      </c>
      <c r="B1" s="103" t="s">
        <v>123</v>
      </c>
      <c r="C1" s="103" t="s">
        <v>124</v>
      </c>
      <c r="D1" s="103" t="s">
        <v>125</v>
      </c>
    </row>
    <row r="2" spans="1:14" x14ac:dyDescent="0.3">
      <c r="A2" s="86">
        <v>1</v>
      </c>
      <c r="B2" s="104" t="s">
        <v>121</v>
      </c>
      <c r="C2" s="104" t="s">
        <v>120</v>
      </c>
      <c r="D2" s="104" t="s">
        <v>122</v>
      </c>
    </row>
    <row r="3" spans="1:14" x14ac:dyDescent="0.3">
      <c r="A3" s="86"/>
      <c r="B3" s="104" t="s">
        <v>210</v>
      </c>
      <c r="C3" s="104" t="s">
        <v>211</v>
      </c>
      <c r="D3" s="104" t="s">
        <v>215</v>
      </c>
      <c r="E3" s="129" t="s">
        <v>214</v>
      </c>
      <c r="G3" s="113"/>
      <c r="H3" s="113"/>
      <c r="I3" s="113"/>
      <c r="J3" s="113"/>
    </row>
    <row r="4" spans="1:14" x14ac:dyDescent="0.3">
      <c r="A4" s="86"/>
      <c r="B4" s="104" t="s">
        <v>212</v>
      </c>
      <c r="C4" s="104"/>
      <c r="D4" s="104" t="s">
        <v>213</v>
      </c>
      <c r="G4" s="113"/>
      <c r="H4" s="113"/>
      <c r="I4" s="113"/>
      <c r="J4" s="113"/>
    </row>
    <row r="5" spans="1:14" x14ac:dyDescent="0.3">
      <c r="A5" s="86"/>
      <c r="B5" s="104" t="s">
        <v>216</v>
      </c>
      <c r="C5" s="104"/>
      <c r="D5" s="104" t="s">
        <v>217</v>
      </c>
      <c r="G5" s="113"/>
      <c r="H5" s="113"/>
      <c r="I5" s="113"/>
      <c r="J5" s="113"/>
    </row>
    <row r="6" spans="1:14" x14ac:dyDescent="0.3">
      <c r="A6" s="86"/>
      <c r="B6" s="104" t="s">
        <v>295</v>
      </c>
      <c r="C6" s="104" t="s">
        <v>294</v>
      </c>
      <c r="D6" s="104"/>
      <c r="G6" s="113"/>
      <c r="H6" s="113"/>
      <c r="I6" s="113"/>
      <c r="J6" s="113"/>
      <c r="L6" s="113"/>
    </row>
    <row r="7" spans="1:14" x14ac:dyDescent="0.3">
      <c r="A7" s="86"/>
      <c r="B7" s="104"/>
      <c r="C7" s="104"/>
      <c r="D7" s="104"/>
      <c r="G7" s="113"/>
      <c r="H7" s="113"/>
      <c r="I7" s="113"/>
      <c r="J7" s="113"/>
      <c r="L7" s="113"/>
    </row>
    <row r="8" spans="1:14" x14ac:dyDescent="0.3">
      <c r="A8" s="86"/>
      <c r="B8" s="104"/>
      <c r="C8" s="104"/>
      <c r="D8" s="104"/>
      <c r="G8" s="113"/>
      <c r="H8" s="113"/>
      <c r="I8" s="113"/>
      <c r="J8" s="113"/>
    </row>
    <row r="9" spans="1:14" x14ac:dyDescent="0.3">
      <c r="A9" s="86"/>
      <c r="B9" s="104"/>
      <c r="C9" s="104"/>
      <c r="D9" s="104"/>
      <c r="G9" s="114"/>
      <c r="H9" s="114"/>
      <c r="I9" s="114"/>
      <c r="J9" s="114"/>
      <c r="K9" s="114"/>
      <c r="L9" s="114"/>
    </row>
    <row r="10" spans="1:14" x14ac:dyDescent="0.3">
      <c r="A10" s="86"/>
      <c r="B10" s="104"/>
      <c r="C10" s="104"/>
      <c r="D10" s="104"/>
      <c r="H10" s="113"/>
    </row>
    <row r="11" spans="1:14" x14ac:dyDescent="0.3">
      <c r="A11" s="86"/>
      <c r="B11" s="104"/>
      <c r="C11" s="104"/>
      <c r="D11" s="104"/>
      <c r="H11" s="113"/>
    </row>
    <row r="12" spans="1:14" x14ac:dyDescent="0.3">
      <c r="A12" s="86"/>
      <c r="B12" s="104"/>
      <c r="C12" s="104"/>
      <c r="D12" s="104"/>
    </row>
    <row r="13" spans="1:14" x14ac:dyDescent="0.3">
      <c r="A13" s="86"/>
      <c r="B13" s="104"/>
      <c r="C13" s="104"/>
      <c r="D13" s="104"/>
    </row>
    <row r="14" spans="1:14" x14ac:dyDescent="0.3">
      <c r="A14" s="86"/>
      <c r="B14" s="104"/>
      <c r="C14" s="104"/>
      <c r="D14" s="104"/>
    </row>
    <row r="15" spans="1:14" x14ac:dyDescent="0.3">
      <c r="A15" s="86"/>
      <c r="B15" s="104"/>
      <c r="C15" s="104"/>
      <c r="D15" s="104"/>
      <c r="N15" s="112"/>
    </row>
    <row r="16" spans="1:14" x14ac:dyDescent="0.3">
      <c r="A16" s="86"/>
      <c r="B16" s="104"/>
      <c r="C16" s="104"/>
      <c r="D16" s="104"/>
      <c r="F16" s="114"/>
    </row>
    <row r="17" spans="1:6" x14ac:dyDescent="0.3">
      <c r="A17" s="86"/>
      <c r="B17" s="104"/>
      <c r="C17" s="104"/>
      <c r="D17" s="104"/>
      <c r="F17" s="113"/>
    </row>
    <row r="18" spans="1:6" x14ac:dyDescent="0.3">
      <c r="A18" s="86"/>
      <c r="B18" s="104"/>
      <c r="C18" s="104"/>
      <c r="D18" s="104"/>
    </row>
    <row r="19" spans="1:6" x14ac:dyDescent="0.3">
      <c r="A19" s="86"/>
      <c r="B19" s="104"/>
      <c r="C19" s="104"/>
      <c r="D19" s="104"/>
      <c r="F19" s="114"/>
    </row>
    <row r="20" spans="1:6" x14ac:dyDescent="0.3">
      <c r="A20" s="86"/>
      <c r="B20" s="104"/>
      <c r="C20" s="104"/>
      <c r="D20" s="104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Summary List</vt:lpstr>
      <vt:lpstr>Bar Chart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2026-07-19T05:28:36Z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