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filterPrivacy="1" codeName="ThisWorkbook" defaultThemeVersion="124226"/>
  <xr:revisionPtr revIDLastSave="0" documentId="13_ncr:1_{FA9BD204-340B-4519-AB4F-BA8458F89C35}" xr6:coauthVersionLast="47" xr6:coauthVersionMax="47" xr10:uidLastSave="{00000000-0000-0000-0000-000000000000}"/>
  <bookViews>
    <workbookView xWindow="-108" yWindow="-108" windowWidth="23256" windowHeight="12456" tabRatio="706" firstSheet="10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2" l="1"/>
  <c r="C35" i="12" s="1"/>
  <c r="B13" i="12"/>
  <c r="C32" i="12"/>
  <c r="C30" i="12"/>
  <c r="G14" i="12"/>
  <c r="H14" i="12" a="1"/>
  <c r="H14" i="12" s="1"/>
  <c r="B14" i="12"/>
  <c r="E2" i="19"/>
  <c r="F13" i="12" s="1"/>
  <c r="H13" i="12" a="1"/>
  <c r="H13" i="12" s="1"/>
  <c r="F44" i="20"/>
  <c r="H44" i="20" s="1"/>
  <c r="F43" i="20"/>
  <c r="H43" i="20" s="1"/>
  <c r="M40" i="20"/>
  <c r="H40" i="20"/>
  <c r="J39" i="20"/>
  <c r="F39" i="20"/>
  <c r="J38" i="20"/>
  <c r="F38" i="20"/>
  <c r="J37" i="20"/>
  <c r="F37" i="20"/>
  <c r="J36" i="20"/>
  <c r="F36" i="20"/>
  <c r="J35" i="20"/>
  <c r="F35" i="20"/>
  <c r="J34" i="20"/>
  <c r="F34" i="20"/>
  <c r="J33" i="20"/>
  <c r="F33" i="20"/>
  <c r="F31" i="20"/>
  <c r="I25" i="20"/>
  <c r="I24" i="20"/>
  <c r="I23" i="20"/>
  <c r="I22" i="20"/>
  <c r="I21" i="20"/>
  <c r="I20" i="20"/>
  <c r="I19" i="20"/>
  <c r="H16" i="20"/>
  <c r="I13" i="20"/>
  <c r="I12" i="20"/>
  <c r="I11" i="20"/>
  <c r="I10" i="20"/>
  <c r="I9" i="20"/>
  <c r="I8" i="20"/>
  <c r="I7" i="20"/>
  <c r="I6" i="20"/>
  <c r="I5" i="20"/>
  <c r="M2" i="20"/>
  <c r="E14" i="12" s="1"/>
  <c r="H2" i="20"/>
  <c r="E2" i="20"/>
  <c r="F14" i="12" s="1"/>
  <c r="J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I5" i="18"/>
  <c r="G12" i="12"/>
  <c r="F31" i="19"/>
  <c r="G13" i="12"/>
  <c r="F44" i="19"/>
  <c r="H44" i="19" s="1"/>
  <c r="F43" i="19"/>
  <c r="H43" i="19" s="1"/>
  <c r="M40" i="19"/>
  <c r="H40" i="19"/>
  <c r="J39" i="19"/>
  <c r="F39" i="19"/>
  <c r="J38" i="19"/>
  <c r="F38" i="19"/>
  <c r="J37" i="19"/>
  <c r="F37" i="19"/>
  <c r="F36" i="19"/>
  <c r="J35" i="19"/>
  <c r="F35" i="19"/>
  <c r="J34" i="19"/>
  <c r="F34" i="19"/>
  <c r="J33" i="19"/>
  <c r="F33" i="19"/>
  <c r="I25" i="19"/>
  <c r="I24" i="19"/>
  <c r="I23" i="19"/>
  <c r="I22" i="19"/>
  <c r="I21" i="19"/>
  <c r="I20" i="19"/>
  <c r="I19" i="19"/>
  <c r="I13" i="19"/>
  <c r="I12" i="19"/>
  <c r="I11" i="19"/>
  <c r="I10" i="19"/>
  <c r="I9" i="19"/>
  <c r="I8" i="19"/>
  <c r="I7" i="19"/>
  <c r="I6" i="19"/>
  <c r="I5" i="19"/>
  <c r="M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N1" i="12"/>
  <c r="B12" i="12"/>
  <c r="C29" i="12"/>
  <c r="F44" i="18"/>
  <c r="H44" i="18" s="1"/>
  <c r="F43" i="18"/>
  <c r="H43" i="18" s="1"/>
  <c r="M40" i="18"/>
  <c r="H40" i="18"/>
  <c r="J39" i="18"/>
  <c r="F39" i="18"/>
  <c r="J38" i="18"/>
  <c r="F38" i="18"/>
  <c r="J37" i="18"/>
  <c r="F37" i="18"/>
  <c r="J36" i="18"/>
  <c r="F36" i="18"/>
  <c r="J35" i="18"/>
  <c r="F35" i="18"/>
  <c r="J34" i="18"/>
  <c r="F34" i="18"/>
  <c r="J33" i="18"/>
  <c r="F33" i="18"/>
  <c r="I25" i="18"/>
  <c r="I24" i="18"/>
  <c r="I23" i="18"/>
  <c r="I22" i="18"/>
  <c r="I21" i="18"/>
  <c r="I20" i="18"/>
  <c r="I19" i="18"/>
  <c r="I13" i="18"/>
  <c r="I12" i="18"/>
  <c r="I11" i="18"/>
  <c r="I10" i="18"/>
  <c r="I9" i="18"/>
  <c r="I8" i="18"/>
  <c r="I7" i="18"/>
  <c r="I6" i="18"/>
  <c r="M2" i="18"/>
  <c r="E12" i="12" s="1"/>
  <c r="H12" i="12" a="1"/>
  <c r="E2" i="18"/>
  <c r="M2" i="17"/>
  <c r="E11" i="12" s="1"/>
  <c r="F44" i="17"/>
  <c r="H44" i="17" s="1"/>
  <c r="B11" i="12"/>
  <c r="I26" i="16"/>
  <c r="F43" i="16"/>
  <c r="H43" i="16" s="1"/>
  <c r="I5" i="17"/>
  <c r="I6" i="17"/>
  <c r="I7" i="17"/>
  <c r="I8" i="17"/>
  <c r="I9" i="17"/>
  <c r="I10" i="17"/>
  <c r="F43" i="17"/>
  <c r="H43" i="17" s="1"/>
  <c r="M40" i="17"/>
  <c r="H40" i="17"/>
  <c r="J39" i="17"/>
  <c r="F39" i="17"/>
  <c r="J38" i="17"/>
  <c r="F38" i="17"/>
  <c r="J37" i="17"/>
  <c r="F37" i="17"/>
  <c r="J36" i="17"/>
  <c r="F36" i="17"/>
  <c r="J35" i="17"/>
  <c r="F35" i="17"/>
  <c r="J34" i="17"/>
  <c r="F34" i="17"/>
  <c r="J33" i="17"/>
  <c r="F33" i="17"/>
  <c r="I25" i="17"/>
  <c r="I24" i="17"/>
  <c r="I23" i="17"/>
  <c r="I22" i="17"/>
  <c r="I21" i="17"/>
  <c r="I20" i="17"/>
  <c r="I19" i="17"/>
  <c r="I13" i="17"/>
  <c r="I12" i="17"/>
  <c r="I11" i="17"/>
  <c r="E2" i="17"/>
  <c r="F11" i="12" s="1"/>
  <c r="B10" i="12"/>
  <c r="B9" i="12"/>
  <c r="B8" i="12"/>
  <c r="B7" i="12"/>
  <c r="B6" i="12"/>
  <c r="B5" i="12"/>
  <c r="B4" i="12"/>
  <c r="B3" i="12"/>
  <c r="B2" i="12"/>
  <c r="M40" i="16"/>
  <c r="H40" i="16"/>
  <c r="J39" i="16"/>
  <c r="F39" i="16"/>
  <c r="J38" i="16"/>
  <c r="F38" i="16"/>
  <c r="J37" i="16"/>
  <c r="F37" i="16"/>
  <c r="J36" i="16"/>
  <c r="F36" i="16"/>
  <c r="J35" i="16"/>
  <c r="F35" i="16"/>
  <c r="J34" i="16"/>
  <c r="F34" i="16"/>
  <c r="J33" i="16"/>
  <c r="F33" i="16"/>
  <c r="I25" i="16"/>
  <c r="I24" i="16"/>
  <c r="I23" i="16"/>
  <c r="I22" i="16"/>
  <c r="I21" i="16"/>
  <c r="I20" i="16"/>
  <c r="I19" i="16"/>
  <c r="I13" i="16"/>
  <c r="I12" i="16"/>
  <c r="I11" i="16"/>
  <c r="I10" i="16"/>
  <c r="I9" i="16"/>
  <c r="I8" i="16"/>
  <c r="I7" i="16"/>
  <c r="I6" i="16"/>
  <c r="I5" i="16"/>
  <c r="M2" i="16"/>
  <c r="E2" i="16"/>
  <c r="F10" i="12" s="1"/>
  <c r="E35" i="15"/>
  <c r="F43" i="15"/>
  <c r="G43" i="15" s="1"/>
  <c r="L40" i="15"/>
  <c r="G40" i="15"/>
  <c r="I39" i="15"/>
  <c r="E39" i="15"/>
  <c r="I38" i="15"/>
  <c r="E38" i="15"/>
  <c r="I37" i="15"/>
  <c r="I36" i="15"/>
  <c r="E36" i="15"/>
  <c r="I35" i="15"/>
  <c r="I34" i="15"/>
  <c r="E34" i="15"/>
  <c r="I33" i="15"/>
  <c r="E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L42" i="11"/>
  <c r="G47" i="13"/>
  <c r="K45" i="13" s="1"/>
  <c r="E36" i="11"/>
  <c r="I24" i="11"/>
  <c r="I25" i="11"/>
  <c r="I26" i="11"/>
  <c r="D14" i="12" l="1"/>
  <c r="F40" i="18"/>
  <c r="F41" i="18" s="1"/>
  <c r="J40" i="18"/>
  <c r="H45" i="20"/>
  <c r="J40" i="20"/>
  <c r="M41" i="20" s="1"/>
  <c r="F40" i="20"/>
  <c r="F41" i="20" s="1"/>
  <c r="K1" i="20"/>
  <c r="F40" i="19"/>
  <c r="F41" i="19" s="1"/>
  <c r="J40" i="19"/>
  <c r="M41" i="19" s="1"/>
  <c r="H45" i="19"/>
  <c r="M41" i="18"/>
  <c r="D13" i="12"/>
  <c r="K1" i="19"/>
  <c r="K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H45" i="18"/>
  <c r="H45" i="17"/>
  <c r="D11" i="12"/>
  <c r="J40" i="17"/>
  <c r="M41" i="17" s="1"/>
  <c r="F40" i="17"/>
  <c r="F41" i="17" s="1"/>
  <c r="K1" i="17"/>
  <c r="J40" i="16"/>
  <c r="M41" i="16" s="1"/>
  <c r="F40" i="16"/>
  <c r="F41" i="16" s="1"/>
  <c r="K1" i="16"/>
  <c r="E10" i="12"/>
  <c r="D10" i="12" s="1"/>
  <c r="I40" i="15"/>
  <c r="L41" i="15" s="1"/>
  <c r="K1" i="15"/>
  <c r="E40" i="15"/>
  <c r="E41" i="15" s="1"/>
  <c r="G49" i="13"/>
  <c r="G48" i="13"/>
  <c r="D32" i="12" l="1"/>
  <c r="L40" i="13"/>
  <c r="G40" i="13"/>
  <c r="I39" i="13"/>
  <c r="E39" i="13"/>
  <c r="I38" i="13"/>
  <c r="E38" i="13"/>
  <c r="I37" i="13"/>
  <c r="E37" i="13"/>
  <c r="I36" i="13"/>
  <c r="E36" i="13"/>
  <c r="I35" i="13"/>
  <c r="E35" i="13"/>
  <c r="I34" i="13"/>
  <c r="E34" i="13"/>
  <c r="I33" i="13"/>
  <c r="E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E6" i="12"/>
  <c r="L41" i="10"/>
  <c r="G42" i="11"/>
  <c r="I39" i="11"/>
  <c r="E39" i="11"/>
  <c r="I38" i="11"/>
  <c r="E38" i="11"/>
  <c r="I37" i="11"/>
  <c r="E37" i="11"/>
  <c r="I36" i="11"/>
  <c r="I35" i="11"/>
  <c r="E35" i="11"/>
  <c r="I34" i="11"/>
  <c r="E34" i="11"/>
  <c r="I33" i="11"/>
  <c r="E33" i="11"/>
  <c r="M2" i="11"/>
  <c r="E7" i="12" s="1"/>
  <c r="E2" i="11"/>
  <c r="F7" i="12" s="1"/>
  <c r="D7" i="12" s="1"/>
  <c r="E34" i="10"/>
  <c r="E35" i="10"/>
  <c r="E36" i="10"/>
  <c r="E37" i="10"/>
  <c r="E38" i="10"/>
  <c r="E39" i="10"/>
  <c r="E33" i="10"/>
  <c r="M41" i="7"/>
  <c r="G40" i="10"/>
  <c r="I39" i="10"/>
  <c r="I38" i="10"/>
  <c r="I37" i="10"/>
  <c r="I36" i="10"/>
  <c r="I35" i="10"/>
  <c r="I34" i="10"/>
  <c r="I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I38" i="7"/>
  <c r="I39" i="7"/>
  <c r="D6" i="12" l="1"/>
  <c r="D4" i="12"/>
  <c r="D8" i="12"/>
  <c r="D31" i="12" s="1"/>
  <c r="I40" i="13"/>
  <c r="L41" i="13" s="1"/>
  <c r="E40" i="13"/>
  <c r="E41" i="13" s="1"/>
  <c r="K1" i="13"/>
  <c r="I42" i="11"/>
  <c r="L43" i="11" s="1"/>
  <c r="E42" i="11"/>
  <c r="E43" i="11" s="1"/>
  <c r="K1" i="9"/>
  <c r="K1" i="11"/>
  <c r="E40" i="10"/>
  <c r="E41" i="10" s="1"/>
  <c r="I40" i="10"/>
  <c r="K1" i="10"/>
  <c r="G40" i="7"/>
  <c r="I34" i="7"/>
  <c r="I35" i="7"/>
  <c r="I36" i="7"/>
  <c r="I37" i="7"/>
  <c r="I33" i="7"/>
  <c r="E36" i="7"/>
  <c r="E37" i="7"/>
  <c r="E33" i="7"/>
  <c r="E35" i="7"/>
  <c r="E34" i="7"/>
  <c r="I22" i="7"/>
  <c r="I21" i="7"/>
  <c r="M2" i="7"/>
  <c r="E5" i="12" s="1"/>
  <c r="E2" i="7"/>
  <c r="F5" i="12" s="1"/>
  <c r="D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D3" i="12" s="1"/>
  <c r="A2" i="6"/>
  <c r="A2" i="4"/>
  <c r="E2" i="4"/>
  <c r="F2" i="12" s="1"/>
  <c r="D2" i="12" s="1"/>
  <c r="M2" i="4"/>
  <c r="E2" i="12" s="1"/>
  <c r="E25" i="12" l="1"/>
  <c r="D29" i="12"/>
  <c r="D30" i="12"/>
  <c r="D25" i="12"/>
  <c r="K1" i="6"/>
  <c r="F25" i="12"/>
  <c r="L42" i="10"/>
  <c r="I40" i="7"/>
  <c r="M42" i="7" s="1"/>
  <c r="E40" i="7"/>
  <c r="E41" i="7" s="1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<sst xmlns="http://schemas.openxmlformats.org/spreadsheetml/2006/main" count="885" uniqueCount="295">
  <si>
    <t>#</t>
  </si>
  <si>
    <t>Item</t>
  </si>
  <si>
    <t>Details</t>
  </si>
  <si>
    <t>Date</t>
  </si>
  <si>
    <t>Bhoomi Magatha</t>
  </si>
  <si>
    <t>5x80K</t>
  </si>
  <si>
    <t>SubMercible Motors</t>
  </si>
  <si>
    <t>2 motors</t>
  </si>
  <si>
    <t>MonoBlock Motors</t>
  </si>
  <si>
    <t>2 motors and Kirayi</t>
  </si>
  <si>
    <t>Saman from Korukollu</t>
  </si>
  <si>
    <t>Change Over Board Saman</t>
  </si>
  <si>
    <t>Electric saman &amp; Plywood from Nouduru</t>
  </si>
  <si>
    <t>Amount</t>
  </si>
  <si>
    <t>Total :</t>
  </si>
  <si>
    <t>Profit</t>
  </si>
  <si>
    <t>Leggalu Work</t>
  </si>
  <si>
    <t>New Fan Sets (6)</t>
  </si>
  <si>
    <t>6x33000</t>
  </si>
  <si>
    <t>Seed</t>
  </si>
  <si>
    <t>5 Lakhs</t>
  </si>
  <si>
    <t>Kirayi</t>
  </si>
  <si>
    <t>Kirayi+Beta</t>
  </si>
  <si>
    <t>Boat, Shed, Wire,Fans</t>
  </si>
  <si>
    <t>Old wire, Old Fans (4)</t>
  </si>
  <si>
    <t>Seed Date</t>
  </si>
  <si>
    <t>Count</t>
  </si>
  <si>
    <t>meta Bastalu - 20</t>
  </si>
  <si>
    <t>20x2140 + 50 + 200</t>
  </si>
  <si>
    <t>Current Bill</t>
  </si>
  <si>
    <t>To BVRM Gpay-AAO/ERO/APEPDCL</t>
  </si>
  <si>
    <t>Assam Boy Salary</t>
  </si>
  <si>
    <t>Days</t>
  </si>
  <si>
    <t>Growth</t>
  </si>
  <si>
    <t>Metha Bastalu - 20</t>
  </si>
  <si>
    <t>20x2140</t>
  </si>
  <si>
    <t>Investment</t>
  </si>
  <si>
    <t>Income</t>
  </si>
  <si>
    <t>Gpay from Venky Mobile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</si>
  <si>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</si>
  <si>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</si>
  <si>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</si>
  <si>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</si>
  <si>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</si>
  <si>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</si>
  <si>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</si>
  <si>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</si>
  <si>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</si>
  <si>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</si>
  <si>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</si>
  <si>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</si>
  <si>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</si>
  <si>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</si>
  <si>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</si>
  <si>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</si>
  <si>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</si>
  <si>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</si>
  <si>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</si>
  <si>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</si>
  <si>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</si>
  <si>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</si>
  <si>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</si>
  <si>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</si>
  <si>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</si>
  <si>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</si>
  <si>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</si>
  <si>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</si>
  <si>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</si>
  <si>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</si>
  <si>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</si>
  <si>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</si>
  <si>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</si>
  <si>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</si>
  <si>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</si>
  <si>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</si>
  <si>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</si>
  <si>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</si>
  <si>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</si>
  <si>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</si>
  <si>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</si>
  <si>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</si>
  <si>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</si>
  <si>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</si>
  <si>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</si>
  <si>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</si>
  <si>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</si>
  <si>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</si>
  <si>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</si>
  <si>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</si>
  <si>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</si>
  <si>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</si>
  <si>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</si>
  <si>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</si>
  <si>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</si>
  <si>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</si>
  <si>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</si>
  <si>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</si>
  <si>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</si>
  <si>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</si>
  <si>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</si>
  <si>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</si>
  <si>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</si>
  <si>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</si>
  <si>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</si>
  <si>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</si>
  <si>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</si>
  <si>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</si>
  <si>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</si>
  <si>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</si>
  <si>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</si>
  <si>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</si>
  <si>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</si>
  <si>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</si>
  <si>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</si>
  <si>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</si>
  <si>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</si>
  <si>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</si>
  <si>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</si>
  <si>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</si>
  <si>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</si>
  <si>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</si>
  <si>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</si>
  <si>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</si>
  <si>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</si>
  <si>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</si>
  <si>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</si>
  <si>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</si>
  <si>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</si>
  <si>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</si>
  <si>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</si>
  <si>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</si>
  <si>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</si>
  <si>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</si>
  <si>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</si>
  <si>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</si>
  <si>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</si>
  <si>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</si>
  <si>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</si>
  <si>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</si>
  <si>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</si>
  <si>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</si>
  <si>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</si>
  <si>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</si>
  <si>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</si>
  <si>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</si>
  <si>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</si>
  <si>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</si>
  <si>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</si>
  <si>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</si>
  <si>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</si>
  <si>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</si>
  <si>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</si>
  <si>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</si>
  <si>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</si>
  <si>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</si>
  <si>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</si>
  <si>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</si>
  <si>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</si>
  <si>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</si>
  <si>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</si>
  <si>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</si>
  <si>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</si>
  <si>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</si>
  <si>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</si>
  <si>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</si>
  <si>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</si>
  <si>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</si>
  <si>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</si>
  <si>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</si>
  <si>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</si>
  <si>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</si>
  <si>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</si>
  <si>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</si>
  <si>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</si>
  <si>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</si>
  <si>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</si>
  <si>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</si>
  <si>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</si>
  <si>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</si>
  <si>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</si>
  <si>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</si>
  <si>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</si>
  <si>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</si>
  <si>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</si>
  <si>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</si>
  <si>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</si>
  <si>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</si>
  <si>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</si>
  <si>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</si>
  <si>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</si>
  <si>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</si>
  <si>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</si>
  <si>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</si>
  <si>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</si>
  <si>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</si>
  <si>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</si>
  <si>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</si>
  <si>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</si>
  <si>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</si>
  <si>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</si>
  <si>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</si>
  <si>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</si>
  <si>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</si>
  <si>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</si>
  <si>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</si>
  <si>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</si>
  <si>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</si>
  <si>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</si>
  <si>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</si>
  <si>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</si>
  <si>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</si>
  <si>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</si>
  <si>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</si>
  <si>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</si>
  <si>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</si>
  <si>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</si>
  <si>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</si>
  <si>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</si>
  <si>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</si>
  <si>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</si>
  <si>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</si>
  <si>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</si>
  <si>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</si>
  <si>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</si>
  <si>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</si>
  <si>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</si>
  <si>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</si>
  <si>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</si>
  <si>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</si>
  <si>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</si>
  <si>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</si>
  <si>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</si>
  <si>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</si>
  <si>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</si>
  <si>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</si>
  <si>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</si>
  <si>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</si>
  <si>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</si>
  <si>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</si>
  <si>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</si>
  <si>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</si>
  <si>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</si>
  <si>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</si>
  <si>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</si>
  <si>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</si>
  <si>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</si>
  <si>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</si>
  <si>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</si>
  <si>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</si>
  <si>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</si>
  <si>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</si>
  <si>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</si>
  <si>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</si>
  <si>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</si>
  <si>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</si>
  <si>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</si>
  <si>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</si>
  <si>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</si>
  <si>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</si>
  <si>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</si>
  <si>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</si>
  <si>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</si>
  <si>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</si>
  <si>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</si>
  <si>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</si>
  <si>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</si>
  <si>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</si>
  <si>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</si>
  <si>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</si>
  <si>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</si>
  <si>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</si>
  <si>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</si>
  <si>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</si>
  <si>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</si>
  <si>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</si>
  <si>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</si>
  <si>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</si>
  <si>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</si>
  <si>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</si>
  <si>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</si>
  <si>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</si>
  <si>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</si>
  <si>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</si>
  <si>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</si>
  <si>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</si>
  <si>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</si>
  <si>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</si>
  <si>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</si>
  <si>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</si>
  <si>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</si>
  <si>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</si>
  <si>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JCB and Labor</t>
  </si>
  <si>
    <t>Bore</t>
  </si>
  <si>
    <t>Electric Items</t>
  </si>
  <si>
    <t>So far 10 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</si>
</sst>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8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0" borderId="29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3" xfId="0" applyBorder="1" applyProtection="1">
      <protection locked="0"/>
    </xf>
    <xf numFmtId="14" fontId="2" fillId="0" borderId="33" xfId="0" applyNumberFormat="1" applyFont="1" applyBorder="1" applyAlignment="1" applyProtection="1">
      <alignment horizontal="center"/>
      <protection locked="0"/>
    </xf>
    <xf numFmtId="0" fontId="2" fillId="0" borderId="33" xfId="0" applyFont="1" applyBorder="1" applyProtection="1">
      <protection locked="0"/>
    </xf>
    <xf numFmtId="164" fontId="2" fillId="0" borderId="33" xfId="0" applyNumberFormat="1" applyFont="1" applyBorder="1" applyProtection="1">
      <protection locked="0"/>
    </xf>
    <xf numFmtId="0" fontId="2" fillId="0" borderId="34" xfId="0" applyFont="1" applyBorder="1" applyProtection="1">
      <protection locked="0"/>
    </xf>
    <xf numFmtId="0" fontId="0" fillId="0" borderId="35" xfId="0" applyBorder="1" applyProtection="1">
      <protection locked="0"/>
    </xf>
    <xf numFmtId="1" fontId="2" fillId="0" borderId="34" xfId="0" applyNumberFormat="1" applyFont="1" applyBorder="1" applyAlignment="1" applyProtection="1">
      <alignment horizontal="center"/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0" fontId="0" fillId="0" borderId="34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6" xfId="0" applyBorder="1" applyAlignment="1" applyProtection="1">
      <alignment horizontal="center"/>
      <protection locked="0"/>
    </xf>
    <xf numFmtId="164" fontId="0" fillId="0" borderId="36" xfId="0" applyNumberFormat="1" applyBorder="1" applyProtection="1">
      <protection locked="0"/>
    </xf>
    <xf numFmtId="0" fontId="0" fillId="0" borderId="36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3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6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9" xfId="0" applyNumberFormat="1" applyFont="1" applyBorder="1" applyAlignment="1" applyProtection="1">
      <alignment horizontal="center"/>
      <protection locked="0"/>
    </xf>
    <xf numFmtId="164" fontId="2" fillId="0" borderId="37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3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9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8" xfId="0" applyBorder="1"/>
    <xf numFmtId="0" fontId="0" fillId="6" borderId="29" xfId="0" applyFill="1" applyBorder="1" applyProtection="1">
      <protection locked="0"/>
    </xf>
    <xf numFmtId="164" fontId="0" fillId="0" borderId="29" xfId="0" applyNumberFormat="1" applyBorder="1" applyProtection="1">
      <protection locked="0"/>
    </xf>
    <xf numFmtId="164" fontId="2" fillId="0" borderId="29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29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5" xfId="0" applyNumberFormat="1" applyFont="1" applyFill="1" applyBorder="1" applyAlignment="1">
      <alignment horizontal="center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32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6" xfId="0" applyFont="1" applyFill="1" applyBorder="1" applyAlignment="1" applyProtection="1">
      <alignment horizontal="center"/>
      <protection locked="0"/>
    </xf>
    <xf numFmtId="0" fontId="2" fillId="5" borderId="32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9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9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29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6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2882402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-1178537.5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1</xdr:rowOff>
    </xdr:from>
    <xdr:to>
      <xdr:col>6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96981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66"/>
  <sheetViews>
    <sheetView zoomScaleNormal="100" workbookViewId="0">
      <pane xSplit="13" ySplit="4" topLeftCell="Z16" activePane="bottomRight" state="frozen"/>
      <selection pane="topRight" activeCell="M1" sqref="M1"/>
      <selection pane="bottomLeft" activeCell="A5" sqref="A5"/>
      <selection pane="bottomRight" activeCell="F37" sqref="F37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181</v>
      </c>
      <c r="C1" s="163"/>
      <c r="D1" s="163"/>
      <c r="E1" s="163"/>
      <c r="F1" s="164"/>
      <c r="G1" s="16" t="s">
        <v>25</v>
      </c>
      <c r="H1" s="152">
        <v>45076</v>
      </c>
      <c r="I1" s="153"/>
      <c r="J1" s="17" t="s">
        <v>15</v>
      </c>
      <c r="K1" s="165">
        <f>M2-E2</f>
        <v>-782674</v>
      </c>
      <c r="L1" s="166"/>
      <c r="M1" s="18"/>
      <c r="N1" s="19"/>
    </row>
    <row r="2" spans="1:14" ht="15.6" x14ac:dyDescent="0.3">
      <c r="A2" s="42">
        <f>SUM(A5:A31)</f>
        <v>0</v>
      </c>
      <c r="B2" s="167"/>
      <c r="C2" s="168"/>
      <c r="D2" s="13" t="s">
        <v>14</v>
      </c>
      <c r="E2" s="12">
        <f>SUM(E5:E31)</f>
        <v>2050924</v>
      </c>
      <c r="F2" s="20"/>
      <c r="G2" s="32" t="s">
        <v>32</v>
      </c>
      <c r="H2" s="154" t="s">
        <v>243</v>
      </c>
      <c r="I2" s="169"/>
      <c r="J2" s="38"/>
      <c r="K2" s="10"/>
      <c r="L2" s="11" t="s">
        <v>14</v>
      </c>
      <c r="M2" s="12">
        <f>SUM(M5:M30)</f>
        <v>1268250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4">
        <v>45126</v>
      </c>
      <c r="H5" s="45">
        <v>120</v>
      </c>
      <c r="I5" s="48" t="str">
        <f>IF(ISBLANK(G5),"",CONCATENATE(G5-$H$1+1," days"))</f>
        <v>51 days</v>
      </c>
      <c r="J5" s="21">
        <v>1</v>
      </c>
      <c r="K5" s="4">
        <v>45150</v>
      </c>
      <c r="L5" s="3" t="s">
        <v>39</v>
      </c>
      <c r="M5" s="5">
        <v>947000</v>
      </c>
      <c r="N5" s="22" t="s">
        <v>40</v>
      </c>
    </row>
    <row r="6" spans="1:14" x14ac:dyDescent="0.3">
      <c r="A6" s="15"/>
      <c r="B6" s="41">
        <v>2</v>
      </c>
      <c r="C6" s="7">
        <v>45027</v>
      </c>
      <c r="D6" s="8" t="s">
        <v>291</v>
      </c>
      <c r="E6" s="9">
        <v>21401</v>
      </c>
      <c r="F6" s="23"/>
      <c r="G6" s="44">
        <v>45133</v>
      </c>
      <c r="H6" s="45">
        <v>108</v>
      </c>
      <c r="I6" s="48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46</v>
      </c>
      <c r="M6" s="5">
        <v>321250</v>
      </c>
      <c r="N6" s="22" t="s">
        <v>47</v>
      </c>
    </row>
    <row r="7" spans="1:14" x14ac:dyDescent="0.3">
      <c r="A7" s="15"/>
      <c r="B7" s="41">
        <v>3</v>
      </c>
      <c r="C7" s="7">
        <v>45029</v>
      </c>
      <c r="D7" s="3" t="s">
        <v>6</v>
      </c>
      <c r="E7" s="5">
        <v>64000</v>
      </c>
      <c r="F7" s="22" t="s">
        <v>7</v>
      </c>
      <c r="G7" s="44">
        <v>45140</v>
      </c>
      <c r="H7" s="45">
        <v>92</v>
      </c>
      <c r="I7" s="48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292</v>
      </c>
      <c r="E8" s="5">
        <v>30400</v>
      </c>
      <c r="F8" s="22"/>
      <c r="G8" s="47">
        <v>45150</v>
      </c>
      <c r="H8" s="45">
        <v>80</v>
      </c>
      <c r="I8" s="48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8</v>
      </c>
      <c r="E9" s="5">
        <v>47000</v>
      </c>
      <c r="F9" s="22" t="s">
        <v>9</v>
      </c>
      <c r="G9" s="47"/>
      <c r="H9" s="45"/>
      <c r="I9" s="48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17302</v>
      </c>
      <c r="F10" s="22"/>
      <c r="G10" s="33"/>
      <c r="H10" s="45"/>
      <c r="I10" s="48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4">
        <v>45056</v>
      </c>
      <c r="D11" s="3" t="s">
        <v>11</v>
      </c>
      <c r="E11" s="5">
        <v>23500</v>
      </c>
      <c r="F11" s="22" t="s">
        <v>12</v>
      </c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4">
        <v>45062</v>
      </c>
      <c r="D12" s="3" t="s">
        <v>16</v>
      </c>
      <c r="E12" s="5">
        <v>12700</v>
      </c>
      <c r="F12" s="22"/>
      <c r="G12" s="149" t="s">
        <v>41</v>
      </c>
      <c r="H12" s="150"/>
      <c r="I12" s="15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4">
        <v>45065</v>
      </c>
      <c r="D13" s="3" t="s">
        <v>17</v>
      </c>
      <c r="E13" s="5">
        <v>198000</v>
      </c>
      <c r="F13" s="22" t="s">
        <v>18</v>
      </c>
      <c r="G13" s="16" t="s">
        <v>25</v>
      </c>
      <c r="H13" s="31">
        <v>45114</v>
      </c>
      <c r="I13" s="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4">
        <v>45065</v>
      </c>
      <c r="D14" s="3" t="s">
        <v>293</v>
      </c>
      <c r="E14" s="5">
        <v>58980</v>
      </c>
      <c r="F14" s="22"/>
      <c r="G14" s="32" t="s">
        <v>32</v>
      </c>
      <c r="H14" s="154" t="s">
        <v>244</v>
      </c>
      <c r="I14" s="169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4">
        <v>45074</v>
      </c>
      <c r="D15" s="3" t="s">
        <v>19</v>
      </c>
      <c r="E15" s="5">
        <v>150000</v>
      </c>
      <c r="F15" s="22" t="s">
        <v>20</v>
      </c>
      <c r="G15" s="156" t="s">
        <v>33</v>
      </c>
      <c r="H15" s="157"/>
      <c r="I15" s="157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4">
        <v>45074</v>
      </c>
      <c r="D16" s="3" t="s">
        <v>21</v>
      </c>
      <c r="E16" s="5">
        <v>9000</v>
      </c>
      <c r="F16" s="22" t="s">
        <v>22</v>
      </c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4">
        <v>45061</v>
      </c>
      <c r="D17" s="3" t="s">
        <v>23</v>
      </c>
      <c r="E17" s="5">
        <v>120000</v>
      </c>
      <c r="F17" s="22" t="s">
        <v>24</v>
      </c>
      <c r="G17" s="44">
        <v>45163</v>
      </c>
      <c r="H17" s="45">
        <v>115</v>
      </c>
      <c r="I17" s="48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4">
        <v>45090</v>
      </c>
      <c r="D18" s="3" t="s">
        <v>27</v>
      </c>
      <c r="E18" s="5">
        <v>43050</v>
      </c>
      <c r="F18" s="22" t="s">
        <v>28</v>
      </c>
      <c r="G18" s="44">
        <v>45169</v>
      </c>
      <c r="H18" s="45">
        <v>105</v>
      </c>
      <c r="I18" s="48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4">
        <v>45093</v>
      </c>
      <c r="D19" s="3" t="s">
        <v>29</v>
      </c>
      <c r="E19" s="5">
        <v>24768</v>
      </c>
      <c r="F19" s="22" t="s">
        <v>30</v>
      </c>
      <c r="G19" s="44">
        <v>45171</v>
      </c>
      <c r="H19" s="45">
        <v>100</v>
      </c>
      <c r="I19" s="48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45100</v>
      </c>
      <c r="D20" s="3" t="s">
        <v>34</v>
      </c>
      <c r="E20" s="5">
        <v>42650</v>
      </c>
      <c r="F20" s="22" t="s">
        <v>35</v>
      </c>
      <c r="G20" s="47">
        <v>45173</v>
      </c>
      <c r="H20" s="45">
        <v>87</v>
      </c>
      <c r="I20" s="48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45105</v>
      </c>
      <c r="D21" s="3" t="s">
        <v>50</v>
      </c>
      <c r="E21" s="5">
        <v>120000</v>
      </c>
      <c r="F21" s="22" t="s">
        <v>51</v>
      </c>
      <c r="G21" s="47"/>
      <c r="H21" s="45"/>
      <c r="I21" s="48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45123</v>
      </c>
      <c r="D22" s="3" t="s">
        <v>29</v>
      </c>
      <c r="E22" s="5">
        <v>25193</v>
      </c>
      <c r="F22" s="22" t="s">
        <v>38</v>
      </c>
      <c r="G22" s="45"/>
      <c r="H22" s="45"/>
      <c r="I22" s="48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45150</v>
      </c>
      <c r="D23" s="3" t="s">
        <v>42</v>
      </c>
      <c r="E23" s="5">
        <v>20000</v>
      </c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7">
        <v>45150</v>
      </c>
      <c r="D24" s="3" t="s">
        <v>49</v>
      </c>
      <c r="E24" s="5">
        <v>140000</v>
      </c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7">
        <v>45150</v>
      </c>
      <c r="D25" s="3" t="s">
        <v>31</v>
      </c>
      <c r="E25" s="5">
        <v>30000</v>
      </c>
      <c r="F25" s="22" t="s">
        <v>52</v>
      </c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7">
        <v>45150</v>
      </c>
      <c r="D26" s="3" t="s">
        <v>48</v>
      </c>
      <c r="E26" s="5">
        <v>600000</v>
      </c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45154</v>
      </c>
      <c r="D27" s="3" t="s">
        <v>77</v>
      </c>
      <c r="E27" s="5">
        <v>52980</v>
      </c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ht="15" thickBot="1" x14ac:dyDescent="0.35">
      <c r="A31" s="39"/>
      <c r="B31" s="41"/>
      <c r="C31" s="27"/>
      <c r="D31" s="28"/>
      <c r="E31" s="29"/>
      <c r="F31" s="30"/>
      <c r="G31" s="36"/>
      <c r="H31" s="46"/>
      <c r="I31" s="50"/>
      <c r="J31" s="36"/>
      <c r="K31" s="39"/>
      <c r="L31" s="39"/>
      <c r="M31" s="39"/>
      <c r="N31" s="37"/>
    </row>
    <row r="32" spans="1:19" x14ac:dyDescent="0.3">
      <c r="B32" s="24"/>
      <c r="C32" s="25"/>
      <c r="D32" s="26"/>
      <c r="E32" s="14"/>
      <c r="F32" s="26"/>
    </row>
    <row r="33" spans="2:6" x14ac:dyDescent="0.3">
      <c r="B33" s="24"/>
      <c r="C33" s="25"/>
      <c r="D33" s="26"/>
      <c r="E33" s="14"/>
      <c r="F33" s="26"/>
    </row>
    <row r="54" spans="7:7" x14ac:dyDescent="0.3">
      <c r="G54" s="40"/>
    </row>
    <row r="55" spans="7:7" x14ac:dyDescent="0.3">
      <c r="G55" s="40"/>
    </row>
    <row r="56" spans="7:7" x14ac:dyDescent="0.3">
      <c r="G56" s="14"/>
    </row>
    <row r="66" spans="6:6" x14ac:dyDescent="0.3">
      <c r="F66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33">
    <cfRule type="duplicateValues" dxfId="69" priority="58"/>
  </conditionalFormatting>
  <conditionalFormatting sqref="E5:E33">
    <cfRule type="duplicateValues" dxfId="68" priority="56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30">
    <cfRule type="duplicateValues" dxfId="65" priority="54"/>
  </conditionalFormatting>
  <conditionalFormatting sqref="M5:M30">
    <cfRule type="duplicateValues" dxfId="64" priority="55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0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182</v>
      </c>
      <c r="C1" s="163"/>
      <c r="D1" s="163"/>
      <c r="E1" s="163"/>
      <c r="F1" s="164"/>
      <c r="G1" s="16" t="s">
        <v>25</v>
      </c>
      <c r="H1" s="152">
        <v>45163</v>
      </c>
      <c r="I1" s="153"/>
      <c r="J1" s="17" t="s">
        <v>15</v>
      </c>
      <c r="K1" s="165">
        <f>M2-E2</f>
        <v>-218110</v>
      </c>
      <c r="L1" s="166"/>
      <c r="M1" s="18"/>
      <c r="N1" s="19"/>
    </row>
    <row r="2" spans="1:14" ht="15.6" x14ac:dyDescent="0.3">
      <c r="A2" s="42">
        <f>SUM(A5:A30)</f>
        <v>0</v>
      </c>
      <c r="B2" s="167"/>
      <c r="C2" s="168"/>
      <c r="D2" s="13" t="s">
        <v>14</v>
      </c>
      <c r="E2" s="12">
        <f>SUM(E5:E30)</f>
        <v>518110</v>
      </c>
      <c r="F2" s="20"/>
      <c r="G2" s="32" t="s">
        <v>32</v>
      </c>
      <c r="H2" s="154" t="s">
        <v>269</v>
      </c>
      <c r="I2" s="169"/>
      <c r="J2" s="38"/>
      <c r="K2" s="10"/>
      <c r="L2" s="11" t="s">
        <v>14</v>
      </c>
      <c r="M2" s="12">
        <f>SUM(M5:M30)</f>
        <v>300000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19</v>
      </c>
      <c r="E5" s="9">
        <v>180000</v>
      </c>
      <c r="F5" s="23" t="s">
        <v>45</v>
      </c>
      <c r="G5" s="44">
        <v>45189</v>
      </c>
      <c r="H5" s="45">
        <v>325</v>
      </c>
      <c r="I5" s="48" t="str">
        <f>IF(ISBLANK(G5),"",CONCATENATE(G5-$H$1+1," days"))</f>
        <v>27 days</v>
      </c>
      <c r="J5" s="21">
        <v>1</v>
      </c>
      <c r="K5" s="4">
        <v>45189</v>
      </c>
      <c r="L5" s="3" t="s">
        <v>66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43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44</v>
      </c>
      <c r="E7" s="9"/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53</v>
      </c>
      <c r="E8" s="5">
        <v>28110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61</v>
      </c>
      <c r="E9" s="5">
        <v>300000</v>
      </c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9" t="s">
        <v>41</v>
      </c>
      <c r="H12" s="150"/>
      <c r="I12" s="15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25</v>
      </c>
      <c r="H13" s="152">
        <v>45163</v>
      </c>
      <c r="I13" s="153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32</v>
      </c>
      <c r="H14" s="154" t="s">
        <v>269</v>
      </c>
      <c r="I14" s="169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6" t="s">
        <v>33</v>
      </c>
      <c r="H15" s="157"/>
      <c r="I15" s="157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45189</v>
      </c>
      <c r="H17" s="45">
        <v>325</v>
      </c>
      <c r="I17" s="48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32">
    <cfRule type="duplicateValues" dxfId="62" priority="28"/>
  </conditionalFormatting>
  <conditionalFormatting sqref="E5:E32">
    <cfRule type="duplicateValues" dxfId="61" priority="30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30">
    <cfRule type="duplicateValues" dxfId="58" priority="32"/>
  </conditionalFormatting>
  <conditionalFormatting sqref="M5:M30">
    <cfRule type="duplicateValues" dxfId="57" priority="33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9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183</v>
      </c>
      <c r="C1" s="163"/>
      <c r="D1" s="163"/>
      <c r="E1" s="163"/>
      <c r="F1" s="164"/>
      <c r="G1" s="16" t="s">
        <v>25</v>
      </c>
      <c r="H1" s="152">
        <v>45163</v>
      </c>
      <c r="I1" s="153"/>
      <c r="J1" s="17" t="s">
        <v>15</v>
      </c>
      <c r="K1" s="165">
        <f>M2-E2</f>
        <v>-470000</v>
      </c>
      <c r="L1" s="166"/>
      <c r="M1" s="18"/>
      <c r="N1" s="19"/>
    </row>
    <row r="2" spans="1:14" ht="15.6" x14ac:dyDescent="0.3">
      <c r="A2" s="42">
        <f>SUM(A5:A30)</f>
        <v>0</v>
      </c>
      <c r="B2" s="167"/>
      <c r="C2" s="168"/>
      <c r="D2" s="13" t="s">
        <v>14</v>
      </c>
      <c r="E2" s="12">
        <f>SUM(E5:E30)</f>
        <v>590000</v>
      </c>
      <c r="F2" s="20"/>
      <c r="G2" s="32" t="s">
        <v>32</v>
      </c>
      <c r="H2" s="154" t="s">
        <v>270</v>
      </c>
      <c r="I2" s="169"/>
      <c r="J2" s="38"/>
      <c r="K2" s="10"/>
      <c r="L2" s="11" t="s">
        <v>14</v>
      </c>
      <c r="M2" s="12">
        <f>SUM(M5:M30)</f>
        <v>120000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19</v>
      </c>
      <c r="E5" s="9">
        <v>180000</v>
      </c>
      <c r="F5" s="23" t="s">
        <v>45</v>
      </c>
      <c r="G5" s="44">
        <v>45199</v>
      </c>
      <c r="H5" s="45">
        <v>325</v>
      </c>
      <c r="I5" s="48" t="str">
        <f>IF(ISBLANK(G5),"",CONCATENATE(G5-$H$1+1," days"))</f>
        <v>37 days</v>
      </c>
      <c r="J5" s="21">
        <v>1</v>
      </c>
      <c r="K5" s="4">
        <v>45189</v>
      </c>
      <c r="L5" s="15" t="s">
        <v>109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43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44</v>
      </c>
      <c r="E7" s="9">
        <v>300000</v>
      </c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77</v>
      </c>
      <c r="E8" s="5">
        <v>100000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9" t="s">
        <v>41</v>
      </c>
      <c r="H12" s="150"/>
      <c r="I12" s="15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25</v>
      </c>
      <c r="H13" s="152">
        <v>45163</v>
      </c>
      <c r="I13" s="153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32</v>
      </c>
      <c r="H14" s="154" t="s">
        <v>270</v>
      </c>
      <c r="I14" s="169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6" t="s">
        <v>33</v>
      </c>
      <c r="H15" s="157"/>
      <c r="I15" s="157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45199</v>
      </c>
      <c r="H17" s="45">
        <v>325</v>
      </c>
      <c r="I17" s="48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2">
    <cfRule type="duplicateValues" dxfId="55" priority="22"/>
  </conditionalFormatting>
  <conditionalFormatting sqref="E5:E32">
    <cfRule type="duplicateValues" dxfId="54" priority="24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30">
    <cfRule type="duplicateValues" dxfId="51" priority="26"/>
  </conditionalFormatting>
  <conditionalFormatting sqref="M5:M30">
    <cfRule type="duplicateValues" dxfId="50" priority="27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11" activePane="bottomRight" state="frozen"/>
      <selection pane="topRight" activeCell="M1" sqref="M1"/>
      <selection pane="bottomLeft" activeCell="A5" sqref="A5"/>
      <selection pane="bottomRight" activeCell="D9" sqref="D9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184</v>
      </c>
      <c r="C1" s="163"/>
      <c r="D1" s="163"/>
      <c r="E1" s="163"/>
      <c r="F1" s="164"/>
      <c r="G1" s="16" t="s">
        <v>25</v>
      </c>
      <c r="H1" s="152">
        <v>45345</v>
      </c>
      <c r="I1" s="153"/>
      <c r="J1" s="17" t="s">
        <v>15</v>
      </c>
      <c r="K1" s="165">
        <f>M2-E2</f>
        <v>1098545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1601499</v>
      </c>
      <c r="F2" s="20"/>
      <c r="G2" s="32" t="s">
        <v>32</v>
      </c>
      <c r="H2" s="154" t="s">
        <v>258</v>
      </c>
      <c r="I2" s="169"/>
      <c r="J2" s="38"/>
      <c r="K2" s="10"/>
      <c r="L2" s="11" t="s">
        <v>14</v>
      </c>
      <c r="M2" s="12">
        <f>SUM(M5:M22)</f>
        <v>2700044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4">
        <v>45396</v>
      </c>
      <c r="H5" s="45">
        <v>124</v>
      </c>
      <c r="I5" s="48" t="str">
        <f>IF(ISBLANK(G5),"",CONCATENATE(G5-$H$1+1," days"))</f>
        <v>52 days</v>
      </c>
      <c r="J5" s="21">
        <v>1</v>
      </c>
      <c r="K5" s="4">
        <v>45399</v>
      </c>
      <c r="L5" s="3" t="s">
        <v>114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61</v>
      </c>
      <c r="E6" s="9">
        <v>1015118</v>
      </c>
      <c r="G6" s="44">
        <v>45399</v>
      </c>
      <c r="H6" s="45">
        <v>107</v>
      </c>
      <c r="I6" s="48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115</v>
      </c>
      <c r="M6" s="5">
        <v>454020</v>
      </c>
      <c r="N6" s="22"/>
    </row>
    <row r="7" spans="1:14" x14ac:dyDescent="0.3">
      <c r="A7" s="15"/>
      <c r="B7" s="41">
        <v>3</v>
      </c>
      <c r="D7" s="8" t="s">
        <v>69</v>
      </c>
      <c r="E7" s="9">
        <v>436381</v>
      </c>
      <c r="F7" s="23" t="s">
        <v>160</v>
      </c>
      <c r="G7" s="44">
        <v>45404</v>
      </c>
      <c r="H7" s="45">
        <v>88</v>
      </c>
      <c r="I7" s="48" t="str">
        <f t="shared" si="0"/>
        <v>60 days</v>
      </c>
      <c r="J7" s="21">
        <v>3</v>
      </c>
      <c r="K7" s="4">
        <v>45408</v>
      </c>
      <c r="L7" s="3" t="s">
        <v>60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75</v>
      </c>
      <c r="E8" s="5">
        <v>65000</v>
      </c>
      <c r="F8" s="22"/>
      <c r="G8" s="44">
        <v>45407</v>
      </c>
      <c r="H8" s="45">
        <v>80</v>
      </c>
      <c r="I8" s="48" t="str">
        <f t="shared" si="0"/>
        <v>63 days</v>
      </c>
      <c r="J8" s="21">
        <v>4</v>
      </c>
      <c r="K8" s="4">
        <v>45416</v>
      </c>
      <c r="L8" s="3" t="s">
        <v>116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61</v>
      </c>
      <c r="E9" s="5">
        <v>85000</v>
      </c>
      <c r="F9" s="22"/>
      <c r="G9" s="47">
        <v>45408</v>
      </c>
      <c r="H9" s="45">
        <v>78</v>
      </c>
      <c r="I9" s="48" t="str">
        <f t="shared" si="0"/>
        <v>64 days</v>
      </c>
      <c r="J9" s="21">
        <v>5</v>
      </c>
      <c r="K9" s="4">
        <v>45421</v>
      </c>
      <c r="L9" s="3" t="s">
        <v>68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7">
        <v>45415</v>
      </c>
      <c r="H10" s="45">
        <v>62</v>
      </c>
      <c r="I10" s="48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7">
        <v>45416</v>
      </c>
      <c r="H11" s="45">
        <v>65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>
        <v>45419</v>
      </c>
      <c r="H12" s="45">
        <v>58</v>
      </c>
      <c r="I12" s="48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>
        <v>45421</v>
      </c>
      <c r="H13" s="45">
        <v>58</v>
      </c>
      <c r="I13" s="48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49" t="s">
        <v>94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25</v>
      </c>
      <c r="H15" s="152">
        <v>45345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32</v>
      </c>
      <c r="H16" s="54" t="s">
        <v>258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2" t="s">
        <v>26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45404</v>
      </c>
      <c r="H19" s="45">
        <v>60</v>
      </c>
      <c r="I19" s="48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45408</v>
      </c>
      <c r="H20" s="45">
        <v>57</v>
      </c>
      <c r="I20" s="48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/>
      <c r="H21" s="45"/>
      <c r="I21" s="48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5"/>
      <c r="I22" s="48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/>
      <c r="J23" s="35"/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/>
      <c r="J24" s="35"/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/>
      <c r="J25" s="35"/>
      <c r="K25" s="15"/>
      <c r="L25" s="15"/>
      <c r="M25" s="15"/>
      <c r="N25" s="34"/>
    </row>
    <row r="26" spans="1:14" x14ac:dyDescent="0.3">
      <c r="A26" s="69"/>
      <c r="B26" s="41">
        <v>22</v>
      </c>
      <c r="C26" s="70"/>
      <c r="D26" s="71"/>
      <c r="E26" s="72"/>
      <c r="F26" s="73"/>
      <c r="G26" s="74"/>
      <c r="H26" s="75"/>
      <c r="I26" s="76"/>
      <c r="J26" s="74"/>
      <c r="K26" s="69"/>
      <c r="L26" s="69"/>
      <c r="M26" s="69"/>
      <c r="N26" s="77"/>
    </row>
    <row r="27" spans="1:14" x14ac:dyDescent="0.3">
      <c r="A27" s="69"/>
      <c r="B27" s="41">
        <v>23</v>
      </c>
      <c r="C27" s="70"/>
      <c r="D27" s="71"/>
      <c r="E27" s="72"/>
      <c r="F27" s="73"/>
      <c r="G27" s="74"/>
      <c r="H27" s="75"/>
      <c r="I27" s="76"/>
      <c r="J27" s="74"/>
      <c r="K27" s="69"/>
      <c r="L27" s="69"/>
      <c r="M27" s="69"/>
      <c r="N27" s="77"/>
    </row>
    <row r="28" spans="1:14" x14ac:dyDescent="0.3">
      <c r="A28" s="69"/>
      <c r="B28" s="41">
        <v>24</v>
      </c>
      <c r="C28" s="70"/>
      <c r="D28" s="71"/>
      <c r="E28" s="72"/>
      <c r="F28" s="73"/>
      <c r="G28" s="74"/>
      <c r="H28" s="75"/>
      <c r="I28" s="76"/>
      <c r="J28" s="74"/>
      <c r="K28" s="69"/>
      <c r="L28" s="69"/>
      <c r="M28" s="69"/>
      <c r="N28" s="77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74"/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67</v>
      </c>
      <c r="E31" s="64">
        <v>700000</v>
      </c>
      <c r="F31" s="60"/>
      <c r="G31" s="60"/>
      <c r="H31" s="60"/>
      <c r="I31" s="128"/>
      <c r="J31" s="12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</row>
    <row r="33" spans="4:13" x14ac:dyDescent="0.3">
      <c r="D33" s="15" t="s">
        <v>55</v>
      </c>
      <c r="E33" s="58">
        <f>40*125</f>
        <v>5000</v>
      </c>
      <c r="F33" s="58">
        <v>124</v>
      </c>
      <c r="G33" s="66">
        <v>40</v>
      </c>
      <c r="H33" s="61">
        <v>0</v>
      </c>
      <c r="I33" s="141">
        <f>G33*H33</f>
        <v>0</v>
      </c>
      <c r="J33" s="141"/>
      <c r="L33" s="6" t="s">
        <v>56</v>
      </c>
      <c r="M33" s="1">
        <v>432360</v>
      </c>
    </row>
    <row r="34" spans="4:13" x14ac:dyDescent="0.3">
      <c r="D34" s="15" t="s">
        <v>56</v>
      </c>
      <c r="E34" s="58">
        <f>2162*107</f>
        <v>231334</v>
      </c>
      <c r="F34" s="58">
        <v>107</v>
      </c>
      <c r="G34" s="66">
        <v>2161.8000000000002</v>
      </c>
      <c r="H34" s="61">
        <v>200</v>
      </c>
      <c r="I34" s="141">
        <f t="shared" ref="I34:I37" si="1">G34*H34</f>
        <v>432360.00000000006</v>
      </c>
      <c r="J34" s="141"/>
      <c r="L34" s="6" t="s">
        <v>61</v>
      </c>
      <c r="M34" s="1">
        <v>500000</v>
      </c>
    </row>
    <row r="35" spans="4:13" x14ac:dyDescent="0.3">
      <c r="D35" s="15" t="s">
        <v>57</v>
      </c>
      <c r="E35" s="58">
        <f>1974*80</f>
        <v>157920</v>
      </c>
      <c r="F35" s="58">
        <v>80</v>
      </c>
      <c r="G35" s="66">
        <v>1974</v>
      </c>
      <c r="H35" s="61">
        <v>230</v>
      </c>
      <c r="I35" s="141">
        <f t="shared" si="1"/>
        <v>454020</v>
      </c>
      <c r="J35" s="141"/>
      <c r="L35" s="6" t="s">
        <v>71</v>
      </c>
      <c r="M35" s="1">
        <v>200000</v>
      </c>
    </row>
    <row r="36" spans="4:13" x14ac:dyDescent="0.3">
      <c r="D36" s="15" t="s">
        <v>63</v>
      </c>
      <c r="E36" s="58">
        <f>2140*66</f>
        <v>141240</v>
      </c>
      <c r="F36" s="58">
        <v>70</v>
      </c>
      <c r="G36" s="66">
        <v>2164</v>
      </c>
      <c r="H36" s="61">
        <v>250</v>
      </c>
      <c r="I36" s="141">
        <f t="shared" si="1"/>
        <v>541000</v>
      </c>
      <c r="J36" s="141"/>
      <c r="L36" s="6" t="s">
        <v>72</v>
      </c>
      <c r="M36" s="1">
        <v>7000</v>
      </c>
    </row>
    <row r="37" spans="4:13" x14ac:dyDescent="0.3">
      <c r="D37" s="15" t="s">
        <v>58</v>
      </c>
      <c r="E37" s="58">
        <f>937*57</f>
        <v>53409</v>
      </c>
      <c r="F37" s="58">
        <v>60</v>
      </c>
      <c r="G37" s="66">
        <v>937.7</v>
      </c>
      <c r="H37" s="61">
        <v>270</v>
      </c>
      <c r="I37" s="141">
        <f t="shared" si="1"/>
        <v>253179</v>
      </c>
      <c r="J37" s="141"/>
      <c r="L37" s="6" t="s">
        <v>61</v>
      </c>
      <c r="M37" s="1">
        <v>500000</v>
      </c>
    </row>
    <row r="38" spans="4:13" x14ac:dyDescent="0.3">
      <c r="D38" s="15" t="s">
        <v>59</v>
      </c>
      <c r="E38" s="58">
        <v>215586</v>
      </c>
      <c r="F38" s="58">
        <v>58</v>
      </c>
      <c r="G38" s="66">
        <v>3687.6</v>
      </c>
      <c r="H38" s="61">
        <v>275</v>
      </c>
      <c r="I38" s="141">
        <f t="shared" ref="I38:I39" si="2">G38*H38</f>
        <v>1014090</v>
      </c>
      <c r="J38" s="141"/>
      <c r="L38" s="6" t="s">
        <v>73</v>
      </c>
      <c r="M38" s="1">
        <v>531845</v>
      </c>
    </row>
    <row r="39" spans="4:13" x14ac:dyDescent="0.3">
      <c r="D39" s="15" t="s">
        <v>70</v>
      </c>
      <c r="E39" s="58">
        <v>1334</v>
      </c>
      <c r="F39" s="58">
        <v>58</v>
      </c>
      <c r="G39" s="66">
        <v>53</v>
      </c>
      <c r="H39" s="61">
        <v>215</v>
      </c>
      <c r="I39" s="141">
        <f t="shared" si="2"/>
        <v>11395</v>
      </c>
      <c r="J39" s="141"/>
      <c r="L39" s="6" t="s">
        <v>73</v>
      </c>
      <c r="M39" s="1">
        <v>500000</v>
      </c>
    </row>
    <row r="40" spans="4:13" x14ac:dyDescent="0.3">
      <c r="D40" s="51" t="s">
        <v>62</v>
      </c>
      <c r="E40" s="59">
        <f>SUM(E33:E38)</f>
        <v>804489</v>
      </c>
      <c r="F40" s="59"/>
      <c r="G40" s="59">
        <f>SUM(G33:G39)</f>
        <v>11018.1</v>
      </c>
      <c r="H40" s="51"/>
      <c r="I40" s="142">
        <f>SUM(I33:I39)</f>
        <v>2706044</v>
      </c>
      <c r="J40" s="142"/>
      <c r="L40" s="6" t="s">
        <v>72</v>
      </c>
      <c r="M40" s="1">
        <v>34000</v>
      </c>
    </row>
    <row r="41" spans="4:13" x14ac:dyDescent="0.3">
      <c r="D41" s="51" t="s">
        <v>130</v>
      </c>
      <c r="E41" s="107" t="str">
        <f>CONCATENATE(ROUND((E40/E31)*100,2),"%")</f>
        <v>114.93%</v>
      </c>
      <c r="F41" s="15"/>
      <c r="G41" s="57"/>
      <c r="H41" s="15"/>
      <c r="I41" s="84"/>
      <c r="J41" s="84"/>
      <c r="L41" s="6"/>
      <c r="M41" s="26">
        <f>SUM(M33:M40)</f>
        <v>2705205</v>
      </c>
    </row>
    <row r="42" spans="4:13" x14ac:dyDescent="0.3">
      <c r="D42" s="40"/>
      <c r="L42" s="67" t="s">
        <v>74</v>
      </c>
      <c r="M42" s="40">
        <f>I40-M41</f>
        <v>839</v>
      </c>
    </row>
    <row r="43" spans="4:13" x14ac:dyDescent="0.3">
      <c r="K43" s="14"/>
    </row>
    <row r="44" spans="4:13" x14ac:dyDescent="0.3">
      <c r="D44" s="40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2">
    <mergeCell ref="G17:I17"/>
    <mergeCell ref="H15:I15"/>
    <mergeCell ref="B3:F3"/>
    <mergeCell ref="G3:I3"/>
    <mergeCell ref="J3:N3"/>
    <mergeCell ref="H4:I4"/>
    <mergeCell ref="G14:I14"/>
    <mergeCell ref="B1:F1"/>
    <mergeCell ref="H1:I1"/>
    <mergeCell ref="K1:L1"/>
    <mergeCell ref="B2:C2"/>
    <mergeCell ref="H2:I2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9" activePane="bottomRight" state="frozen"/>
      <selection pane="topRight" activeCell="M1" sqref="M1"/>
      <selection pane="bottomLeft" activeCell="A5" sqref="A5"/>
      <selection pane="bottomRight" activeCell="D30" sqref="D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185</v>
      </c>
      <c r="C1" s="163"/>
      <c r="D1" s="163"/>
      <c r="E1" s="163"/>
      <c r="F1" s="164"/>
      <c r="G1" s="16" t="s">
        <v>25</v>
      </c>
      <c r="H1" s="152">
        <v>45477</v>
      </c>
      <c r="I1" s="153"/>
      <c r="J1" s="17" t="s">
        <v>15</v>
      </c>
      <c r="K1" s="165">
        <f>M2-E2</f>
        <v>391120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1221202</v>
      </c>
      <c r="F2" s="20"/>
      <c r="G2" s="32" t="s">
        <v>32</v>
      </c>
      <c r="H2" s="154" t="s">
        <v>259</v>
      </c>
      <c r="I2" s="169"/>
      <c r="J2" s="38"/>
      <c r="K2" s="10"/>
      <c r="L2" s="11" t="s">
        <v>14</v>
      </c>
      <c r="M2" s="12">
        <f>SUM(M5:M22)</f>
        <v>1612322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76</v>
      </c>
      <c r="E5" s="9">
        <v>40000</v>
      </c>
      <c r="F5" s="23"/>
      <c r="G5" s="44">
        <v>45527</v>
      </c>
      <c r="H5" s="45">
        <v>110</v>
      </c>
      <c r="I5" s="48" t="str">
        <f>IF(ISBLANK(G5),"",CONCATENATE(G5-$H$1+1," days"))</f>
        <v>51 days</v>
      </c>
      <c r="J5" s="21">
        <v>1</v>
      </c>
      <c r="K5" s="4">
        <v>45534</v>
      </c>
      <c r="L5" s="3" t="s">
        <v>80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19</v>
      </c>
      <c r="E6" s="9">
        <v>262500</v>
      </c>
      <c r="F6" s="23" t="s">
        <v>161</v>
      </c>
      <c r="G6" s="44">
        <v>45534</v>
      </c>
      <c r="H6" s="45">
        <v>111</v>
      </c>
      <c r="I6" s="48" t="str">
        <f>IF(ISBLANK(G6),"",CONCATENATE(G6-$H$1+1," days"))</f>
        <v>58 days</v>
      </c>
      <c r="J6" s="21">
        <v>2</v>
      </c>
      <c r="K6" s="4">
        <v>45543</v>
      </c>
      <c r="L6" s="3" t="s">
        <v>89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78</v>
      </c>
      <c r="E7" s="9">
        <v>12000</v>
      </c>
      <c r="F7" s="9"/>
      <c r="G7" s="23"/>
      <c r="H7" s="45"/>
      <c r="I7" s="48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77</v>
      </c>
      <c r="E8" s="9">
        <v>30000</v>
      </c>
      <c r="F8" s="22"/>
      <c r="G8" s="44"/>
      <c r="H8" s="45"/>
      <c r="I8" s="48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84</v>
      </c>
      <c r="E9" s="5">
        <v>623857</v>
      </c>
      <c r="F9" s="22" t="s">
        <v>83</v>
      </c>
      <c r="G9" s="47"/>
      <c r="H9" s="45"/>
      <c r="I9" s="48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85</v>
      </c>
      <c r="E10" s="5">
        <v>133202</v>
      </c>
      <c r="F10" s="22"/>
      <c r="G10" s="47"/>
      <c r="H10" s="45"/>
      <c r="I10" s="48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88</v>
      </c>
      <c r="E11" s="5">
        <v>100000</v>
      </c>
      <c r="F11" s="22"/>
      <c r="G11" s="47"/>
      <c r="H11" s="45"/>
      <c r="I11" s="48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96</v>
      </c>
      <c r="E12" s="5">
        <v>19643</v>
      </c>
      <c r="F12" s="56"/>
      <c r="G12" s="47"/>
      <c r="H12" s="45"/>
      <c r="I12" s="48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98</v>
      </c>
      <c r="E13" s="5"/>
      <c r="F13" s="56"/>
      <c r="G13" s="47"/>
      <c r="H13" s="45"/>
      <c r="I13" s="48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1"/>
      <c r="E14" s="5"/>
      <c r="F14" s="68"/>
      <c r="G14" s="149" t="s">
        <v>94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1"/>
      <c r="E15" s="5"/>
      <c r="F15" s="22"/>
      <c r="G15" s="16" t="s">
        <v>25</v>
      </c>
      <c r="H15" s="152">
        <v>45477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1"/>
      <c r="E16" s="5"/>
      <c r="F16" s="22"/>
      <c r="G16" s="32" t="s">
        <v>32</v>
      </c>
      <c r="H16" s="54" t="s">
        <v>260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1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1"/>
      <c r="E18" s="5"/>
      <c r="F18" s="22"/>
      <c r="G18" s="21" t="s">
        <v>3</v>
      </c>
      <c r="H18" s="52" t="s">
        <v>26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1"/>
      <c r="E19" s="5"/>
      <c r="F19" s="22"/>
      <c r="G19" s="44">
        <v>45527</v>
      </c>
      <c r="H19" s="45">
        <v>106</v>
      </c>
      <c r="I19" s="48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1"/>
      <c r="E20" s="5"/>
      <c r="F20" s="22"/>
      <c r="G20" s="44">
        <v>45534</v>
      </c>
      <c r="H20" s="45">
        <v>96</v>
      </c>
      <c r="I20" s="48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1"/>
      <c r="E21" s="5"/>
      <c r="F21" s="22"/>
      <c r="G21" s="44">
        <v>45541</v>
      </c>
      <c r="H21" s="45">
        <v>91</v>
      </c>
      <c r="I21" s="48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1"/>
      <c r="E22" s="5"/>
      <c r="F22" s="22"/>
      <c r="G22" s="47">
        <v>45543</v>
      </c>
      <c r="H22" s="45">
        <v>92</v>
      </c>
      <c r="I22" s="48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1"/>
      <c r="E23" s="5"/>
      <c r="F23" s="22"/>
      <c r="G23" s="35"/>
      <c r="H23" s="45"/>
      <c r="I23" s="48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1"/>
      <c r="E24" s="5"/>
      <c r="F24" s="22"/>
      <c r="G24" s="35"/>
      <c r="H24" s="45"/>
      <c r="I24" s="48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1"/>
      <c r="E25" s="5"/>
      <c r="F25" s="22"/>
      <c r="G25" s="35"/>
      <c r="H25" s="45"/>
      <c r="I25" s="48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1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1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6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ht="15" thickBot="1" x14ac:dyDescent="0.35">
      <c r="A29" s="69"/>
      <c r="B29" s="41">
        <v>25</v>
      </c>
      <c r="C29" s="70"/>
      <c r="D29" s="97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.6" thickTop="1" thickBot="1" x14ac:dyDescent="0.35">
      <c r="A30" s="39"/>
      <c r="B30" s="78"/>
      <c r="C30" s="27"/>
      <c r="D30" s="29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67</v>
      </c>
      <c r="E31" s="85">
        <v>750000</v>
      </c>
      <c r="F31" s="60"/>
      <c r="G31" s="60"/>
      <c r="H31" s="60"/>
      <c r="I31" s="128"/>
      <c r="J31" s="12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2" x14ac:dyDescent="0.3">
      <c r="D33" s="15" t="s">
        <v>79</v>
      </c>
      <c r="E33" s="58">
        <f>G33*F33</f>
        <v>591607.80000000005</v>
      </c>
      <c r="F33" s="58">
        <v>111</v>
      </c>
      <c r="G33" s="66">
        <v>5329.8</v>
      </c>
      <c r="H33" s="61">
        <v>249</v>
      </c>
      <c r="I33" s="141">
        <f>G33*H33</f>
        <v>1327120.2</v>
      </c>
      <c r="J33" s="141"/>
      <c r="K33" s="84" t="s">
        <v>90</v>
      </c>
      <c r="L33" s="61">
        <v>600000</v>
      </c>
    </row>
    <row r="34" spans="1:12" x14ac:dyDescent="0.3">
      <c r="D34" s="15" t="s">
        <v>86</v>
      </c>
      <c r="E34" s="58">
        <f t="shared" ref="E34:E39" si="2">G34*F34</f>
        <v>6660</v>
      </c>
      <c r="F34" s="58">
        <v>111</v>
      </c>
      <c r="G34" s="66">
        <v>60</v>
      </c>
      <c r="H34" s="61">
        <v>124.5</v>
      </c>
      <c r="I34" s="141">
        <f t="shared" ref="I34:I39" si="3">G34*H34</f>
        <v>7470</v>
      </c>
      <c r="J34" s="141"/>
      <c r="K34" s="84" t="s">
        <v>91</v>
      </c>
      <c r="L34" s="61">
        <v>250000</v>
      </c>
    </row>
    <row r="35" spans="1:12" x14ac:dyDescent="0.3">
      <c r="D35" s="15" t="s">
        <v>87</v>
      </c>
      <c r="E35" s="58">
        <f t="shared" si="2"/>
        <v>98274.400000000009</v>
      </c>
      <c r="F35" s="58">
        <v>92</v>
      </c>
      <c r="G35" s="66">
        <v>1068.2</v>
      </c>
      <c r="H35" s="61">
        <v>250</v>
      </c>
      <c r="I35" s="141">
        <f t="shared" si="3"/>
        <v>267050</v>
      </c>
      <c r="J35" s="141"/>
      <c r="K35" s="84" t="s">
        <v>91</v>
      </c>
      <c r="L35" s="61">
        <v>50000</v>
      </c>
    </row>
    <row r="36" spans="1:12" x14ac:dyDescent="0.3">
      <c r="D36" s="15"/>
      <c r="E36" s="58">
        <f t="shared" si="2"/>
        <v>0</v>
      </c>
      <c r="F36" s="58"/>
      <c r="G36" s="66">
        <v>1068.2</v>
      </c>
      <c r="H36" s="61">
        <v>10</v>
      </c>
      <c r="I36" s="142">
        <f t="shared" si="3"/>
        <v>10682</v>
      </c>
      <c r="J36" s="142"/>
      <c r="K36" s="84" t="s">
        <v>73</v>
      </c>
      <c r="L36" s="61">
        <v>568000</v>
      </c>
    </row>
    <row r="37" spans="1:12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97</v>
      </c>
      <c r="L37" s="61">
        <v>133202</v>
      </c>
    </row>
    <row r="38" spans="1:12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73</v>
      </c>
      <c r="L38" s="61">
        <v>10000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2" x14ac:dyDescent="0.3">
      <c r="D40" s="51" t="s">
        <v>62</v>
      </c>
      <c r="E40" s="59">
        <f>SUM(E33:E38)</f>
        <v>696542.20000000007</v>
      </c>
      <c r="F40" s="59"/>
      <c r="G40" s="83">
        <f>SUM(G33:G39)</f>
        <v>7526.2</v>
      </c>
      <c r="H40" s="51"/>
      <c r="I40" s="142">
        <f>SUM(I33:I39)</f>
        <v>1612322.2</v>
      </c>
      <c r="J40" s="142"/>
      <c r="K40" s="84"/>
      <c r="L40" s="61"/>
    </row>
    <row r="41" spans="1:12" x14ac:dyDescent="0.3">
      <c r="D41" s="51" t="s">
        <v>130</v>
      </c>
      <c r="E41" s="107" t="str">
        <f>CONCATENATE(ROUND((E40/E31)*100,2),"%")</f>
        <v>92.87%</v>
      </c>
      <c r="F41" s="15"/>
      <c r="G41" s="57"/>
      <c r="H41" s="15"/>
      <c r="I41" s="84"/>
      <c r="J41" s="84"/>
      <c r="K41" s="51" t="s">
        <v>92</v>
      </c>
      <c r="L41" s="5">
        <f>SUM(L33:L40)</f>
        <v>1611202</v>
      </c>
    </row>
    <row r="42" spans="1:12" ht="15" thickBot="1" x14ac:dyDescent="0.35">
      <c r="A42" s="79"/>
      <c r="B42" s="80"/>
      <c r="C42" s="80"/>
      <c r="D42" s="79"/>
      <c r="E42" s="79"/>
      <c r="F42" s="79"/>
      <c r="G42" s="79"/>
      <c r="H42" s="79"/>
      <c r="I42" s="79"/>
      <c r="J42" s="79"/>
      <c r="K42" s="82" t="s">
        <v>93</v>
      </c>
      <c r="L42" s="81">
        <f>I40-L41</f>
        <v>1120.1999999999534</v>
      </c>
    </row>
    <row r="43" spans="1:12" x14ac:dyDescent="0.3">
      <c r="A43" s="176" t="s">
        <v>81</v>
      </c>
      <c r="B43" s="176"/>
      <c r="C43" s="176"/>
      <c r="F43" s="176" t="s">
        <v>82</v>
      </c>
      <c r="G43" s="176"/>
      <c r="H43" s="176"/>
      <c r="K43" s="14"/>
    </row>
    <row r="44" spans="1:12" x14ac:dyDescent="0.3">
      <c r="D44" s="40"/>
    </row>
    <row r="45" spans="1:12" x14ac:dyDescent="0.3">
      <c r="K45" s="14"/>
    </row>
    <row r="47" spans="1:12" x14ac:dyDescent="0.3">
      <c r="K47" s="26"/>
    </row>
    <row r="48" spans="1:12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4" activePane="bottomLeft" state="frozen"/>
      <selection pane="bottomLeft" activeCell="E43" sqref="E43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186</v>
      </c>
      <c r="C1" s="163"/>
      <c r="D1" s="163"/>
      <c r="E1" s="163"/>
      <c r="F1" s="164"/>
      <c r="G1" s="16" t="s">
        <v>25</v>
      </c>
      <c r="H1" s="152">
        <v>45548</v>
      </c>
      <c r="I1" s="153"/>
      <c r="J1" s="17" t="s">
        <v>15</v>
      </c>
      <c r="K1" s="165">
        <f>M2-E2</f>
        <v>1002304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1412799</v>
      </c>
      <c r="F2" s="20"/>
      <c r="G2" s="32" t="s">
        <v>32</v>
      </c>
      <c r="H2" s="154" t="s">
        <v>207</v>
      </c>
      <c r="I2" s="169"/>
      <c r="J2" s="38"/>
      <c r="K2" s="10"/>
      <c r="L2" s="11" t="s">
        <v>14</v>
      </c>
      <c r="M2" s="12">
        <f>SUM(M5:M22)</f>
        <v>2415103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19</v>
      </c>
      <c r="E5" s="9">
        <v>210000</v>
      </c>
      <c r="F5" s="23" t="s">
        <v>95</v>
      </c>
      <c r="G5" s="44">
        <v>45599</v>
      </c>
      <c r="H5" s="45">
        <v>96</v>
      </c>
      <c r="I5" s="48" t="str">
        <f>IF(ISBLANK(G5),"",CONCATENATE(G5-$H$1+1," days"))</f>
        <v>52 days</v>
      </c>
      <c r="J5" s="21">
        <v>1</v>
      </c>
      <c r="K5" s="4">
        <v>45609</v>
      </c>
      <c r="L5" s="3" t="s">
        <v>113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78</v>
      </c>
      <c r="E6" s="9">
        <v>30000</v>
      </c>
      <c r="F6" s="23"/>
      <c r="G6" s="44">
        <v>45602</v>
      </c>
      <c r="H6" s="45">
        <v>91</v>
      </c>
      <c r="I6" s="48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123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108</v>
      </c>
      <c r="E7" s="9">
        <v>35000</v>
      </c>
      <c r="F7" s="23" t="s">
        <v>95</v>
      </c>
      <c r="G7" s="100">
        <v>45606</v>
      </c>
      <c r="H7" s="45">
        <v>84</v>
      </c>
      <c r="I7" s="48" t="str">
        <f t="shared" si="0"/>
        <v>59 days</v>
      </c>
      <c r="J7" s="21">
        <v>3</v>
      </c>
      <c r="K7" s="4">
        <v>45633</v>
      </c>
      <c r="L7" s="3" t="s">
        <v>132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110</v>
      </c>
      <c r="E8" s="9">
        <v>3500</v>
      </c>
      <c r="F8" s="22"/>
      <c r="G8" s="44">
        <v>45608</v>
      </c>
      <c r="H8" s="45">
        <v>81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29</v>
      </c>
      <c r="E9" s="5">
        <v>22303</v>
      </c>
      <c r="F9" s="22"/>
      <c r="G9" s="47">
        <v>45609</v>
      </c>
      <c r="H9" s="45">
        <v>79</v>
      </c>
      <c r="I9" s="48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29</v>
      </c>
      <c r="E10" s="5">
        <v>17625</v>
      </c>
      <c r="F10" s="22"/>
      <c r="G10" s="47">
        <v>45614</v>
      </c>
      <c r="H10" s="45">
        <v>65</v>
      </c>
      <c r="I10" s="48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111</v>
      </c>
      <c r="E11" s="5">
        <v>1200</v>
      </c>
      <c r="F11" s="22"/>
      <c r="G11" s="47">
        <v>45619</v>
      </c>
      <c r="H11" s="45">
        <v>70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146</v>
      </c>
      <c r="E12" s="5">
        <v>5600</v>
      </c>
      <c r="F12" s="56"/>
      <c r="G12" s="47">
        <v>45620</v>
      </c>
      <c r="H12" s="45">
        <v>65</v>
      </c>
      <c r="I12" s="48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118</v>
      </c>
      <c r="E13" s="5">
        <v>893146</v>
      </c>
      <c r="F13" s="56"/>
      <c r="G13" s="47"/>
      <c r="H13" s="45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145</v>
      </c>
      <c r="E14" s="5">
        <v>17400</v>
      </c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29</v>
      </c>
      <c r="E15" s="5">
        <v>22755</v>
      </c>
      <c r="F15" s="22"/>
      <c r="G15" s="16" t="s">
        <v>25</v>
      </c>
      <c r="H15" s="152">
        <v>45561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143</v>
      </c>
      <c r="E16" s="5">
        <v>27000</v>
      </c>
      <c r="F16" s="22"/>
      <c r="G16" s="32" t="s">
        <v>32</v>
      </c>
      <c r="H16" s="154" t="s">
        <v>207</v>
      </c>
      <c r="I16" s="1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144</v>
      </c>
      <c r="E17" s="5">
        <v>45000</v>
      </c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49</v>
      </c>
      <c r="E18" s="5">
        <v>82270</v>
      </c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142</v>
      </c>
      <c r="G19" s="44">
        <v>45602</v>
      </c>
      <c r="H19" s="45">
        <v>130</v>
      </c>
      <c r="I19" s="48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45608</v>
      </c>
      <c r="H20" s="45">
        <v>99</v>
      </c>
      <c r="I20" s="48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45614</v>
      </c>
      <c r="H21" s="45">
        <v>80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45619</v>
      </c>
      <c r="H22" s="45">
        <v>71</v>
      </c>
      <c r="I22" s="48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45624</v>
      </c>
      <c r="H23" s="45">
        <v>61</v>
      </c>
      <c r="I23" s="48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7">
        <v>45631</v>
      </c>
      <c r="H24" s="45">
        <v>60</v>
      </c>
      <c r="I24" s="48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7">
        <v>45633</v>
      </c>
      <c r="H25" s="45">
        <v>56</v>
      </c>
      <c r="I25" s="48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700000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4" x14ac:dyDescent="0.3">
      <c r="D33" s="15" t="s">
        <v>56</v>
      </c>
      <c r="E33" s="58">
        <f>G33*F33</f>
        <v>163537.9</v>
      </c>
      <c r="F33" s="58">
        <v>79</v>
      </c>
      <c r="G33" s="66">
        <v>2070.1</v>
      </c>
      <c r="H33" s="61">
        <v>270</v>
      </c>
      <c r="I33" s="141">
        <f>G33*H33</f>
        <v>558927</v>
      </c>
      <c r="J33" s="141"/>
      <c r="K33" s="84" t="s">
        <v>131</v>
      </c>
      <c r="L33" s="61">
        <v>200000</v>
      </c>
    </row>
    <row r="34" spans="1:14" x14ac:dyDescent="0.3">
      <c r="D34" s="15" t="s">
        <v>117</v>
      </c>
      <c r="E34" s="58">
        <f t="shared" ref="E34:E39" si="2">G34*F34</f>
        <v>300293.5</v>
      </c>
      <c r="F34" s="58">
        <v>65</v>
      </c>
      <c r="G34" s="66">
        <v>4619.8999999999996</v>
      </c>
      <c r="H34" s="61">
        <v>320</v>
      </c>
      <c r="I34" s="141">
        <f t="shared" ref="I34:I39" si="3">G34*H34</f>
        <v>1478368</v>
      </c>
      <c r="J34" s="141"/>
      <c r="K34" s="6" t="s">
        <v>71</v>
      </c>
      <c r="L34" s="61">
        <v>200000</v>
      </c>
    </row>
    <row r="35" spans="1:14" x14ac:dyDescent="0.3">
      <c r="D35" s="15" t="s">
        <v>58</v>
      </c>
      <c r="E35" s="58">
        <f t="shared" si="2"/>
        <v>62227.200000000004</v>
      </c>
      <c r="F35" s="58">
        <v>56</v>
      </c>
      <c r="G35" s="66">
        <v>1111.2</v>
      </c>
      <c r="H35" s="61">
        <v>340</v>
      </c>
      <c r="I35" s="141">
        <f t="shared" si="3"/>
        <v>377808</v>
      </c>
      <c r="J35" s="141"/>
      <c r="K35" s="84" t="s">
        <v>73</v>
      </c>
      <c r="L35" s="61">
        <v>158927</v>
      </c>
    </row>
    <row r="36" spans="1:14" x14ac:dyDescent="0.3">
      <c r="D36" s="15"/>
      <c r="E36" s="58">
        <f t="shared" si="2"/>
        <v>0</v>
      </c>
      <c r="F36" s="58"/>
      <c r="G36" s="66"/>
      <c r="H36" s="61"/>
      <c r="I36" s="141">
        <f t="shared" si="3"/>
        <v>0</v>
      </c>
      <c r="J36" s="141"/>
      <c r="K36" s="84" t="s">
        <v>90</v>
      </c>
      <c r="L36" s="61">
        <v>900000</v>
      </c>
    </row>
    <row r="37" spans="1:14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19</v>
      </c>
      <c r="L37" s="61">
        <v>200000</v>
      </c>
    </row>
    <row r="38" spans="1:14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73</v>
      </c>
      <c r="L38" s="61">
        <v>300000</v>
      </c>
      <c r="N38" s="1" t="s">
        <v>142</v>
      </c>
    </row>
    <row r="39" spans="1:14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 t="s">
        <v>49</v>
      </c>
      <c r="L39" s="61">
        <v>82270</v>
      </c>
    </row>
    <row r="40" spans="1:14" x14ac:dyDescent="0.3">
      <c r="D40" s="15"/>
      <c r="E40" s="58"/>
      <c r="F40" s="58"/>
      <c r="G40" s="66"/>
      <c r="H40" s="61"/>
      <c r="I40" s="143"/>
      <c r="J40" s="144"/>
      <c r="K40" s="84" t="s">
        <v>73</v>
      </c>
      <c r="L40" s="61">
        <v>300000</v>
      </c>
    </row>
    <row r="41" spans="1:14" x14ac:dyDescent="0.3">
      <c r="D41" s="15"/>
      <c r="E41" s="58"/>
      <c r="F41" s="58"/>
      <c r="G41" s="66"/>
      <c r="H41" s="61"/>
      <c r="I41" s="143"/>
      <c r="J41" s="144"/>
      <c r="K41" s="84" t="s">
        <v>73</v>
      </c>
      <c r="L41" s="61">
        <v>83600</v>
      </c>
    </row>
    <row r="42" spans="1:14" x14ac:dyDescent="0.3">
      <c r="D42" s="51" t="s">
        <v>62</v>
      </c>
      <c r="E42" s="59">
        <f>SUM(E33:E38)</f>
        <v>526058.6</v>
      </c>
      <c r="F42" s="59"/>
      <c r="G42" s="83">
        <f>SUM(G33:G39)</f>
        <v>7801.2</v>
      </c>
      <c r="H42" s="51"/>
      <c r="I42" s="142">
        <f>SUM(I33:I39)</f>
        <v>2415103</v>
      </c>
      <c r="J42" s="142"/>
      <c r="K42" s="51" t="s">
        <v>92</v>
      </c>
      <c r="L42" s="5">
        <f>SUM(L33:L41)</f>
        <v>2424797</v>
      </c>
    </row>
    <row r="43" spans="1:14" ht="15" thickBot="1" x14ac:dyDescent="0.35">
      <c r="D43" s="51" t="s">
        <v>130</v>
      </c>
      <c r="E43" s="107" t="str">
        <f>CONCATENATE(ROUND((E42/E31)*100,2),"%")</f>
        <v>75.15%</v>
      </c>
      <c r="F43" s="15"/>
      <c r="G43" s="57"/>
      <c r="H43" s="15"/>
      <c r="I43" s="84"/>
      <c r="J43" s="84"/>
      <c r="K43" s="82" t="s">
        <v>93</v>
      </c>
      <c r="L43" s="112">
        <f>I42-L42</f>
        <v>-9694</v>
      </c>
    </row>
    <row r="44" spans="1:14" x14ac:dyDescent="0.3">
      <c r="D44" s="40"/>
      <c r="L44" s="67"/>
      <c r="M44" s="40"/>
    </row>
    <row r="45" spans="1:14" x14ac:dyDescent="0.3">
      <c r="A45" s="148" t="s">
        <v>112</v>
      </c>
      <c r="B45" s="148"/>
      <c r="C45" s="148"/>
      <c r="D45" s="61"/>
      <c r="E45" s="15"/>
      <c r="F45" s="15"/>
      <c r="G45" s="15" t="e">
        <f>F45/E45</f>
        <v>#DIV/0!</v>
      </c>
      <c r="H45" s="99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56</v>
      </c>
      <c r="D46" s="40"/>
      <c r="F46" s="6" t="s">
        <v>120</v>
      </c>
      <c r="I46" s="1" t="s">
        <v>147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7" t="s">
        <v>71</v>
      </c>
      <c r="M49" s="61">
        <v>200000</v>
      </c>
    </row>
    <row r="50" spans="7:13" x14ac:dyDescent="0.3">
      <c r="H50" s="26"/>
      <c r="L50" s="57" t="s">
        <v>148</v>
      </c>
      <c r="M50" s="61">
        <v>400000</v>
      </c>
    </row>
    <row r="51" spans="7:13" x14ac:dyDescent="0.3">
      <c r="K51" s="40"/>
      <c r="L51" s="57" t="s">
        <v>149</v>
      </c>
      <c r="M51" s="61">
        <v>300000</v>
      </c>
    </row>
    <row r="52" spans="7:13" x14ac:dyDescent="0.3">
      <c r="L52" s="57" t="s">
        <v>150</v>
      </c>
      <c r="M52" s="61">
        <v>40000</v>
      </c>
    </row>
    <row r="53" spans="7:13" x14ac:dyDescent="0.3">
      <c r="L53" s="57" t="s">
        <v>151</v>
      </c>
      <c r="M53" s="61">
        <v>38000</v>
      </c>
    </row>
    <row r="54" spans="7:13" x14ac:dyDescent="0.3">
      <c r="L54" s="57" t="s">
        <v>152</v>
      </c>
      <c r="M54" s="61">
        <v>15000</v>
      </c>
    </row>
    <row r="55" spans="7:13" x14ac:dyDescent="0.3">
      <c r="L55" s="57"/>
      <c r="M55" s="61"/>
    </row>
    <row r="56" spans="7:13" x14ac:dyDescent="0.3">
      <c r="G56" s="40"/>
      <c r="L56" s="57"/>
      <c r="M56" s="61"/>
    </row>
    <row r="57" spans="7:13" x14ac:dyDescent="0.3">
      <c r="G57" s="40"/>
      <c r="L57" s="113" t="s">
        <v>62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13">
    <mergeCell ref="G14:I14"/>
    <mergeCell ref="H15:I15"/>
    <mergeCell ref="G17:I17"/>
    <mergeCell ref="H16:I16"/>
    <mergeCell ref="A45:C45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187</v>
      </c>
      <c r="C1" s="163"/>
      <c r="D1" s="163"/>
      <c r="E1" s="163"/>
      <c r="F1" s="164"/>
      <c r="G1" s="16" t="s">
        <v>25</v>
      </c>
      <c r="H1" s="152">
        <v>45631</v>
      </c>
      <c r="I1" s="153"/>
      <c r="J1" s="17" t="s">
        <v>15</v>
      </c>
      <c r="K1" s="165">
        <f>M2-E2</f>
        <v>528979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1502849</v>
      </c>
      <c r="F2" s="20"/>
      <c r="G2" s="32" t="s">
        <v>32</v>
      </c>
      <c r="H2" s="154" t="s">
        <v>261</v>
      </c>
      <c r="I2" s="169"/>
      <c r="J2" s="38"/>
      <c r="K2" s="10"/>
      <c r="L2" s="11" t="s">
        <v>14</v>
      </c>
      <c r="M2" s="12">
        <f>SUM(M5:M22)</f>
        <v>2031828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153</v>
      </c>
      <c r="E5" s="9">
        <v>265000</v>
      </c>
      <c r="F5" s="23" t="s">
        <v>154</v>
      </c>
      <c r="G5" s="44">
        <v>45692</v>
      </c>
      <c r="H5" s="45">
        <v>137</v>
      </c>
      <c r="I5" s="48" t="str">
        <f>IF(ISBLANK(G5),"",CONCATENATE(G5-$H$1+1," days"))</f>
        <v>62 days</v>
      </c>
      <c r="J5" s="21">
        <v>1</v>
      </c>
      <c r="K5" s="118">
        <v>45701</v>
      </c>
      <c r="L5" s="3" t="s">
        <v>158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21</v>
      </c>
      <c r="E6" s="9">
        <v>38941</v>
      </c>
      <c r="F6" s="23"/>
      <c r="G6" s="44">
        <v>45701</v>
      </c>
      <c r="H6" s="45">
        <v>110</v>
      </c>
      <c r="I6" s="48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164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29</v>
      </c>
      <c r="E7" s="9">
        <v>23950</v>
      </c>
      <c r="F7" s="23"/>
      <c r="G7" s="44">
        <v>45708</v>
      </c>
      <c r="H7" s="45">
        <v>100</v>
      </c>
      <c r="I7" s="48" t="str">
        <f t="shared" si="0"/>
        <v>78 days</v>
      </c>
      <c r="J7" s="21">
        <v>3</v>
      </c>
      <c r="K7" s="4">
        <v>45717</v>
      </c>
      <c r="L7" s="3" t="s">
        <v>165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108</v>
      </c>
      <c r="E8" s="9">
        <v>40000</v>
      </c>
      <c r="F8" s="22" t="s">
        <v>155</v>
      </c>
      <c r="G8" s="44">
        <v>45709</v>
      </c>
      <c r="H8" s="45">
        <v>97</v>
      </c>
      <c r="I8" s="48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156</v>
      </c>
      <c r="E9" s="5">
        <v>8000</v>
      </c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29</v>
      </c>
      <c r="E10" s="5">
        <v>31958</v>
      </c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61</v>
      </c>
      <c r="E11" s="5">
        <v>1095000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/>
      <c r="H12" s="111"/>
      <c r="I12" s="48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/>
      <c r="H13" s="111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25</v>
      </c>
      <c r="H15" s="152">
        <v>45653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32</v>
      </c>
      <c r="H16" s="154" t="s">
        <v>262</v>
      </c>
      <c r="I16" s="1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45692</v>
      </c>
      <c r="H19" s="45">
        <v>240</v>
      </c>
      <c r="I19" s="48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45700</v>
      </c>
      <c r="H20" s="45">
        <v>186</v>
      </c>
      <c r="I20" s="48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45708</v>
      </c>
      <c r="H21" s="45">
        <v>142</v>
      </c>
      <c r="I21" s="48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45714</v>
      </c>
      <c r="H22" s="45">
        <v>146</v>
      </c>
      <c r="I22" s="48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45717</v>
      </c>
      <c r="H23" s="45">
        <v>140</v>
      </c>
      <c r="I23" s="48" t="str">
        <f t="shared" si="1"/>
        <v>65 days</v>
      </c>
      <c r="J23" s="21">
        <v>19</v>
      </c>
      <c r="K23" s="84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84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84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84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84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84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11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120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925000</v>
      </c>
      <c r="F31" s="60"/>
      <c r="G31" s="60"/>
      <c r="H31" s="60"/>
      <c r="I31" s="177"/>
      <c r="J31" s="177"/>
      <c r="K31" s="98"/>
      <c r="L31" s="98"/>
      <c r="M31" s="26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159" t="s">
        <v>66</v>
      </c>
      <c r="J32" s="159"/>
      <c r="K32" s="160" t="s">
        <v>162</v>
      </c>
      <c r="L32" s="160"/>
    </row>
    <row r="33" spans="1:13" x14ac:dyDescent="0.3">
      <c r="D33" s="15" t="s">
        <v>56</v>
      </c>
      <c r="E33" s="58">
        <f>G33*F33</f>
        <v>236445</v>
      </c>
      <c r="F33" s="58">
        <v>110</v>
      </c>
      <c r="G33" s="66">
        <v>2149.5</v>
      </c>
      <c r="H33" s="61">
        <v>245</v>
      </c>
      <c r="I33" s="145">
        <f>G33*H33</f>
        <v>526627.5</v>
      </c>
      <c r="J33" s="145"/>
      <c r="K33" s="84" t="s">
        <v>131</v>
      </c>
      <c r="L33" s="61">
        <v>200000</v>
      </c>
    </row>
    <row r="34" spans="1:13" x14ac:dyDescent="0.3">
      <c r="D34" s="15" t="s">
        <v>117</v>
      </c>
      <c r="E34" s="58">
        <f t="shared" ref="E34:E39" si="2">G34*F34</f>
        <v>506340</v>
      </c>
      <c r="F34" s="58">
        <v>97</v>
      </c>
      <c r="G34" s="66">
        <v>5220</v>
      </c>
      <c r="H34" s="61">
        <v>260</v>
      </c>
      <c r="I34" s="145">
        <f t="shared" ref="I34:I39" si="3">G34*H34</f>
        <v>1357200</v>
      </c>
      <c r="J34" s="145"/>
      <c r="K34" s="84" t="s">
        <v>131</v>
      </c>
      <c r="L34" s="61">
        <v>50000</v>
      </c>
    </row>
    <row r="35" spans="1:13" x14ac:dyDescent="0.3">
      <c r="D35" s="15" t="s">
        <v>58</v>
      </c>
      <c r="E35" s="58">
        <f t="shared" si="2"/>
        <v>99900</v>
      </c>
      <c r="F35" s="58">
        <v>135</v>
      </c>
      <c r="G35" s="66">
        <v>740</v>
      </c>
      <c r="H35" s="61">
        <v>200</v>
      </c>
      <c r="I35" s="145">
        <f t="shared" si="3"/>
        <v>148000</v>
      </c>
      <c r="J35" s="145"/>
      <c r="K35" s="84" t="s">
        <v>131</v>
      </c>
      <c r="L35" s="61">
        <v>200000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45">
        <f t="shared" si="3"/>
        <v>0</v>
      </c>
      <c r="J36" s="145"/>
      <c r="K36" s="84" t="s">
        <v>61</v>
      </c>
      <c r="L36" s="61">
        <v>1095000</v>
      </c>
    </row>
    <row r="37" spans="1:13" x14ac:dyDescent="0.3">
      <c r="D37" s="15"/>
      <c r="E37" s="58">
        <f t="shared" si="2"/>
        <v>0</v>
      </c>
      <c r="F37" s="58"/>
      <c r="G37" s="66"/>
      <c r="H37" s="61"/>
      <c r="I37" s="145">
        <f t="shared" si="3"/>
        <v>0</v>
      </c>
      <c r="J37" s="145"/>
      <c r="K37" s="84" t="s">
        <v>19</v>
      </c>
      <c r="L37" s="61">
        <v>240000</v>
      </c>
    </row>
    <row r="38" spans="1:13" x14ac:dyDescent="0.3">
      <c r="D38" s="15"/>
      <c r="E38" s="58">
        <f t="shared" si="2"/>
        <v>0</v>
      </c>
      <c r="F38" s="58"/>
      <c r="G38" s="66"/>
      <c r="H38" s="61"/>
      <c r="I38" s="145">
        <f t="shared" si="3"/>
        <v>0</v>
      </c>
      <c r="J38" s="145"/>
      <c r="K38" s="84" t="s">
        <v>73</v>
      </c>
      <c r="L38" s="61">
        <v>274600</v>
      </c>
    </row>
    <row r="39" spans="1:13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/>
      <c r="L39" s="61"/>
    </row>
    <row r="40" spans="1:13" x14ac:dyDescent="0.3">
      <c r="D40" s="51" t="s">
        <v>62</v>
      </c>
      <c r="E40" s="59">
        <f>SUM(E33:E38)</f>
        <v>842685</v>
      </c>
      <c r="F40" s="59"/>
      <c r="G40" s="83">
        <f>SUM(G33:G39)</f>
        <v>8109.5</v>
      </c>
      <c r="H40" s="51"/>
      <c r="I40" s="146">
        <f>SUM(I33:I39)</f>
        <v>2031827.5</v>
      </c>
      <c r="J40" s="146"/>
      <c r="K40" s="51" t="s">
        <v>92</v>
      </c>
      <c r="L40" s="5">
        <f>SUM(L33:L39)</f>
        <v>2059600</v>
      </c>
    </row>
    <row r="41" spans="1:13" ht="15" thickBot="1" x14ac:dyDescent="0.35">
      <c r="D41" s="51" t="s">
        <v>130</v>
      </c>
      <c r="E41" s="107" t="str">
        <f>CONCATENATE(ROUND((E40/E31)*100,2),"%")</f>
        <v>91.1%</v>
      </c>
      <c r="F41" s="15"/>
      <c r="G41" s="57"/>
      <c r="H41" s="15"/>
      <c r="I41" s="147"/>
      <c r="J41" s="147"/>
      <c r="K41" s="82" t="s">
        <v>93</v>
      </c>
      <c r="L41" s="5">
        <f>I40-L40</f>
        <v>-27772.5</v>
      </c>
    </row>
    <row r="42" spans="1:13" x14ac:dyDescent="0.3">
      <c r="D42" s="40"/>
      <c r="L42" s="67"/>
      <c r="M42" s="40"/>
    </row>
    <row r="43" spans="1:13" x14ac:dyDescent="0.3">
      <c r="A43" s="148" t="s">
        <v>112</v>
      </c>
      <c r="B43" s="148"/>
      <c r="C43" s="148"/>
      <c r="D43" s="61"/>
      <c r="E43" s="15"/>
      <c r="F43" s="15"/>
      <c r="G43" s="5"/>
      <c r="H43" s="99"/>
      <c r="I43" s="15"/>
      <c r="J43" s="15"/>
      <c r="K43" s="121"/>
      <c r="L43" s="15"/>
      <c r="M43" s="15"/>
    </row>
    <row r="44" spans="1:13" x14ac:dyDescent="0.3">
      <c r="C44" s="6" t="s">
        <v>56</v>
      </c>
      <c r="D44" s="40"/>
      <c r="F44" s="60"/>
      <c r="G44" s="60" t="s">
        <v>21</v>
      </c>
      <c r="H44" s="60"/>
      <c r="I44" s="60" t="s">
        <v>19</v>
      </c>
      <c r="J44" s="60"/>
      <c r="K44" s="117" t="s">
        <v>141</v>
      </c>
    </row>
    <row r="45" spans="1:13" x14ac:dyDescent="0.3">
      <c r="B45"/>
      <c r="F45" s="92" t="s">
        <v>135</v>
      </c>
      <c r="G45" s="110">
        <v>34</v>
      </c>
      <c r="H45" s="92" t="s">
        <v>139</v>
      </c>
      <c r="I45" s="110">
        <v>2000</v>
      </c>
      <c r="J45" s="110" t="s">
        <v>140</v>
      </c>
      <c r="K45" s="122">
        <f>G47/11</f>
        <v>4867.636363636364</v>
      </c>
    </row>
    <row r="46" spans="1:13" x14ac:dyDescent="0.3">
      <c r="B46"/>
      <c r="F46" s="92" t="s">
        <v>133</v>
      </c>
      <c r="G46" s="110">
        <v>758</v>
      </c>
      <c r="H46" s="92" t="s">
        <v>134</v>
      </c>
      <c r="I46" s="60">
        <v>110000</v>
      </c>
      <c r="J46" s="60" t="s">
        <v>138</v>
      </c>
      <c r="K46" s="117">
        <v>1470</v>
      </c>
    </row>
    <row r="47" spans="1:13" x14ac:dyDescent="0.3">
      <c r="F47" s="3" t="s">
        <v>136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91</v>
      </c>
      <c r="G48" s="109">
        <f>K45*8</f>
        <v>38941.090909090912</v>
      </c>
      <c r="H48" s="15"/>
      <c r="I48" s="15">
        <v>800000</v>
      </c>
      <c r="J48" s="15"/>
      <c r="K48" s="84">
        <v>1065</v>
      </c>
    </row>
    <row r="49" spans="3:11" x14ac:dyDescent="0.3">
      <c r="F49" s="15" t="s">
        <v>137</v>
      </c>
      <c r="G49" s="109">
        <f>K45*3</f>
        <v>14602.909090909092</v>
      </c>
      <c r="H49" s="15"/>
      <c r="I49" s="15">
        <v>300000</v>
      </c>
      <c r="J49" s="15"/>
      <c r="K49" s="84">
        <v>405</v>
      </c>
    </row>
    <row r="50" spans="3:11" x14ac:dyDescent="0.3">
      <c r="G50" s="108"/>
    </row>
    <row r="51" spans="3:11" x14ac:dyDescent="0.3">
      <c r="C51" s="6" t="s">
        <v>157</v>
      </c>
    </row>
    <row r="52" spans="3:11" x14ac:dyDescent="0.3">
      <c r="G52" s="108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I38:J38"/>
    <mergeCell ref="I39:J39"/>
    <mergeCell ref="I40:J40"/>
    <mergeCell ref="I41:J41"/>
    <mergeCell ref="A43:C43"/>
    <mergeCell ref="K32:L32"/>
    <mergeCell ref="I33:J33"/>
    <mergeCell ref="I34:J34"/>
    <mergeCell ref="I35:J35"/>
    <mergeCell ref="I36:J36"/>
    <mergeCell ref="I37:J37"/>
    <mergeCell ref="G14:I14"/>
    <mergeCell ref="H15:I15"/>
    <mergeCell ref="H16:I16"/>
    <mergeCell ref="G17:I17"/>
    <mergeCell ref="I31:J31"/>
    <mergeCell ref="I32:J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zoomScaleNormal="100" workbookViewId="0">
      <pane ySplit="1" topLeftCell="A24" activePane="bottomLeft" state="frozen"/>
      <selection pane="bottomLeft" activeCell="E2" sqref="E2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10.5546875" style="1" bestFit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188</v>
      </c>
      <c r="C1" s="163"/>
      <c r="D1" s="163"/>
      <c r="E1" s="163"/>
      <c r="F1" s="164"/>
      <c r="G1" s="16" t="s">
        <v>25</v>
      </c>
      <c r="H1" s="152">
        <v>45714</v>
      </c>
      <c r="I1" s="153"/>
      <c r="J1" s="17" t="s">
        <v>15</v>
      </c>
      <c r="K1" s="165">
        <f>M2-E2</f>
        <v>405496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1386194</v>
      </c>
      <c r="F2" s="20"/>
      <c r="G2" s="32" t="s">
        <v>32</v>
      </c>
      <c r="H2" s="154" t="s">
        <v>263</v>
      </c>
      <c r="I2" s="169"/>
      <c r="J2" s="38"/>
      <c r="K2" s="10"/>
      <c r="L2" s="11" t="s">
        <v>14</v>
      </c>
      <c r="M2" s="12">
        <f>SUM(M5:M22)</f>
        <v>1791690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166</v>
      </c>
      <c r="E5" s="9">
        <v>257500</v>
      </c>
      <c r="F5" s="23" t="s">
        <v>163</v>
      </c>
      <c r="G5" s="44">
        <v>45765</v>
      </c>
      <c r="H5" s="45">
        <v>157</v>
      </c>
      <c r="I5" s="48" t="str">
        <f>IF(ISBLANK(G5),"",CONCATENATE(G5-$H$1+1," days"))</f>
        <v>52 days</v>
      </c>
      <c r="J5" s="21">
        <v>1</v>
      </c>
      <c r="K5" s="44">
        <v>45775</v>
      </c>
      <c r="L5" s="3" t="s">
        <v>169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167</v>
      </c>
      <c r="E6" s="9">
        <v>35000</v>
      </c>
      <c r="F6" s="23" t="s">
        <v>168</v>
      </c>
      <c r="G6" s="44">
        <v>45775</v>
      </c>
      <c r="H6" s="45">
        <v>110</v>
      </c>
      <c r="I6" s="48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171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170</v>
      </c>
      <c r="E7" s="9">
        <v>984721</v>
      </c>
      <c r="F7" s="23"/>
      <c r="G7" s="44">
        <v>45783</v>
      </c>
      <c r="H7" s="45">
        <v>86</v>
      </c>
      <c r="I7" s="48" t="str">
        <f t="shared" si="0"/>
        <v>70 days</v>
      </c>
      <c r="J7" s="21">
        <v>3</v>
      </c>
      <c r="K7" s="44">
        <v>45791</v>
      </c>
      <c r="L7" s="3" t="s">
        <v>175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177</v>
      </c>
      <c r="E8" s="9">
        <v>108973</v>
      </c>
      <c r="F8" s="22"/>
      <c r="G8" s="44">
        <v>45787</v>
      </c>
      <c r="H8" s="45">
        <v>74</v>
      </c>
      <c r="I8" s="48" t="str">
        <f t="shared" si="0"/>
        <v>74 days</v>
      </c>
      <c r="J8" s="21">
        <v>4</v>
      </c>
      <c r="K8" s="44">
        <v>45791</v>
      </c>
      <c r="L8" s="3" t="s">
        <v>176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>
        <v>45791</v>
      </c>
      <c r="H9" s="45">
        <v>67</v>
      </c>
      <c r="I9" s="48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6">
        <v>900</v>
      </c>
      <c r="E10" s="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6">
        <v>2400</v>
      </c>
      <c r="E11" s="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6">
        <v>25261</v>
      </c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6">
        <v>3360</v>
      </c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6">
        <v>6000</v>
      </c>
      <c r="E14" s="5"/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6">
        <v>6000</v>
      </c>
      <c r="E15" s="5"/>
      <c r="F15" s="22"/>
      <c r="G15" s="16" t="s">
        <v>25</v>
      </c>
      <c r="H15" s="152">
        <v>45743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6">
        <v>4956</v>
      </c>
      <c r="E16" s="5"/>
      <c r="F16" s="22"/>
      <c r="G16" s="32" t="s">
        <v>32</v>
      </c>
      <c r="H16" s="154" t="s">
        <v>264</v>
      </c>
      <c r="I16" s="1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6">
        <v>5600</v>
      </c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6">
        <v>3000</v>
      </c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6">
        <v>26577</v>
      </c>
      <c r="E19" s="5"/>
      <c r="F19" s="22"/>
      <c r="G19" s="44">
        <v>45783</v>
      </c>
      <c r="H19" s="45">
        <v>132</v>
      </c>
      <c r="I19" s="48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6">
        <v>24919</v>
      </c>
      <c r="E20" s="5"/>
      <c r="F20" s="22"/>
      <c r="G20" s="44">
        <v>45791</v>
      </c>
      <c r="H20" s="45">
        <v>102</v>
      </c>
      <c r="I20" s="48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6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850000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3" x14ac:dyDescent="0.3">
      <c r="D33" s="15" t="s">
        <v>56</v>
      </c>
      <c r="E33" s="58">
        <f>G33*F33</f>
        <v>184140</v>
      </c>
      <c r="F33" s="58">
        <v>110</v>
      </c>
      <c r="G33" s="66">
        <v>1674</v>
      </c>
      <c r="H33" s="61">
        <v>220</v>
      </c>
      <c r="I33" s="141">
        <f>G33*H33</f>
        <v>368280</v>
      </c>
      <c r="J33" s="141"/>
      <c r="K33" s="84" t="s">
        <v>173</v>
      </c>
      <c r="L33" s="61">
        <v>400000</v>
      </c>
    </row>
    <row r="34" spans="1:13" x14ac:dyDescent="0.3">
      <c r="D34" s="15" t="s">
        <v>57</v>
      </c>
      <c r="E34" s="58">
        <f t="shared" ref="E34:E39" si="2">G34*F34</f>
        <v>160337.20000000001</v>
      </c>
      <c r="F34" s="58">
        <v>73</v>
      </c>
      <c r="G34" s="66">
        <v>2196.4</v>
      </c>
      <c r="H34" s="61">
        <v>260</v>
      </c>
      <c r="I34" s="141">
        <f t="shared" ref="I34:I39" si="3">G34*H34</f>
        <v>571064</v>
      </c>
      <c r="J34" s="141"/>
      <c r="K34" s="84" t="s">
        <v>178</v>
      </c>
      <c r="L34" s="61">
        <v>200000</v>
      </c>
    </row>
    <row r="35" spans="1:13" x14ac:dyDescent="0.3">
      <c r="C35" s="124"/>
      <c r="D35" s="15" t="s">
        <v>172</v>
      </c>
      <c r="E35" s="58">
        <f t="shared" si="2"/>
        <v>162508.5</v>
      </c>
      <c r="F35" s="58">
        <v>67</v>
      </c>
      <c r="G35" s="66">
        <v>2425.5</v>
      </c>
      <c r="H35" s="61">
        <v>280</v>
      </c>
      <c r="I35" s="141">
        <f t="shared" si="3"/>
        <v>679140</v>
      </c>
      <c r="J35" s="141"/>
      <c r="K35" s="84" t="s">
        <v>179</v>
      </c>
      <c r="L35" s="61">
        <v>250000</v>
      </c>
    </row>
    <row r="36" spans="1:13" x14ac:dyDescent="0.3">
      <c r="D36" s="15" t="s">
        <v>58</v>
      </c>
      <c r="E36" s="58">
        <f t="shared" si="2"/>
        <v>80304.599999999991</v>
      </c>
      <c r="F36" s="58">
        <v>102</v>
      </c>
      <c r="G36" s="66">
        <v>787.3</v>
      </c>
      <c r="H36" s="61">
        <v>220</v>
      </c>
      <c r="I36" s="141">
        <f t="shared" si="3"/>
        <v>173206</v>
      </c>
      <c r="J36" s="141"/>
      <c r="K36" s="84" t="s">
        <v>180</v>
      </c>
      <c r="L36" s="61">
        <v>985721</v>
      </c>
    </row>
    <row r="37" spans="1:13" x14ac:dyDescent="0.3">
      <c r="D37" s="15"/>
      <c r="E37" s="58">
        <v>0</v>
      </c>
      <c r="F37" s="58"/>
      <c r="G37" s="66"/>
      <c r="H37" s="61"/>
      <c r="I37" s="141">
        <f t="shared" si="3"/>
        <v>0</v>
      </c>
      <c r="J37" s="141"/>
      <c r="K37" s="84"/>
      <c r="L37" s="61"/>
    </row>
    <row r="38" spans="1:13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/>
      <c r="L38" s="61"/>
    </row>
    <row r="39" spans="1:13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3" x14ac:dyDescent="0.3">
      <c r="D40" s="51" t="s">
        <v>62</v>
      </c>
      <c r="E40" s="59">
        <f>SUM(E33:E38)</f>
        <v>587290.30000000005</v>
      </c>
      <c r="F40" s="59"/>
      <c r="G40" s="83">
        <f>SUM(G33:G39)</f>
        <v>7083.2</v>
      </c>
      <c r="H40" s="51"/>
      <c r="I40" s="142">
        <f>SUM(I33:I39)</f>
        <v>1791690</v>
      </c>
      <c r="J40" s="142"/>
      <c r="K40" s="51" t="s">
        <v>92</v>
      </c>
      <c r="L40" s="5">
        <f>SUM(L33:L39)</f>
        <v>1835721</v>
      </c>
    </row>
    <row r="41" spans="1:13" ht="15" thickBot="1" x14ac:dyDescent="0.35">
      <c r="D41" s="51" t="s">
        <v>130</v>
      </c>
      <c r="E41" s="107" t="str">
        <f>CONCATENATE(ROUND((E40/E31)*100,2),"%")</f>
        <v>69.09%</v>
      </c>
      <c r="F41" s="15"/>
      <c r="G41" s="57"/>
      <c r="H41" s="15"/>
      <c r="I41" s="84"/>
      <c r="J41" s="84"/>
      <c r="K41" s="82" t="s">
        <v>93</v>
      </c>
      <c r="L41" s="103">
        <f>I40-L40</f>
        <v>-44031</v>
      </c>
    </row>
    <row r="42" spans="1:13" x14ac:dyDescent="0.3">
      <c r="D42" s="40"/>
      <c r="L42" s="67"/>
      <c r="M42" s="40"/>
    </row>
    <row r="43" spans="1:13" x14ac:dyDescent="0.3">
      <c r="A43" s="148" t="s">
        <v>112</v>
      </c>
      <c r="B43" s="148"/>
      <c r="C43" s="148"/>
      <c r="D43" s="58"/>
      <c r="E43" s="15"/>
      <c r="F43" s="3" t="e">
        <f>D43/E43</f>
        <v>#DIV/0!</v>
      </c>
      <c r="G43" s="5" t="e">
        <f>F43*265</f>
        <v>#DIV/0!</v>
      </c>
      <c r="H43" s="99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A43:C43"/>
    <mergeCell ref="G14:I14"/>
    <mergeCell ref="H15:I15"/>
    <mergeCell ref="H16:I16"/>
    <mergeCell ref="G17:I17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B1:N56"/>
  <sheetViews>
    <sheetView zoomScaleNormal="100" workbookViewId="0">
      <pane ySplit="1" topLeftCell="A2" activePane="bottomLeft" state="frozen"/>
      <selection pane="bottomLeft" activeCell="E2" sqref="E2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25" style="1" bestFit="1" customWidth="1"/>
    <col min="7" max="7" width="10.3320312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189</v>
      </c>
      <c r="C1" s="163"/>
      <c r="D1" s="163"/>
      <c r="E1" s="163"/>
      <c r="F1" s="164"/>
      <c r="G1" s="16" t="s">
        <v>25</v>
      </c>
      <c r="H1" s="152">
        <v>45840</v>
      </c>
      <c r="I1" s="153"/>
      <c r="J1" s="17" t="s">
        <v>15</v>
      </c>
      <c r="K1" s="165">
        <f>M2-E2</f>
        <v>1125929.5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1410000</v>
      </c>
      <c r="F2" s="20"/>
      <c r="G2" s="32" t="s">
        <v>32</v>
      </c>
      <c r="H2" s="154" t="s">
        <v>265</v>
      </c>
      <c r="I2" s="169"/>
      <c r="J2" s="38"/>
      <c r="K2" s="10"/>
      <c r="L2" s="11" t="s">
        <v>14</v>
      </c>
      <c r="M2" s="12">
        <f>SUM(M5:M22)</f>
        <v>2535929.5</v>
      </c>
      <c r="N2" s="20"/>
    </row>
    <row r="3" spans="2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45840</v>
      </c>
      <c r="D5" s="26" t="s">
        <v>166</v>
      </c>
      <c r="E5" s="9">
        <v>300000</v>
      </c>
      <c r="F5" s="23" t="s">
        <v>226</v>
      </c>
      <c r="G5" s="44">
        <v>45884</v>
      </c>
      <c r="H5" s="45">
        <v>135</v>
      </c>
      <c r="I5" s="48" t="str">
        <f>IF(ISBLANK(G5),"",CONCATENATE(G5-$H$1+1," days"))</f>
        <v>45 days</v>
      </c>
      <c r="J5" s="21">
        <v>1</v>
      </c>
      <c r="K5" s="44">
        <v>45893</v>
      </c>
      <c r="L5" s="3" t="s">
        <v>192</v>
      </c>
      <c r="M5" s="5">
        <v>521040</v>
      </c>
      <c r="N5" s="22"/>
    </row>
    <row r="6" spans="2:14" x14ac:dyDescent="0.3">
      <c r="B6" s="41">
        <v>2</v>
      </c>
      <c r="C6" s="7"/>
      <c r="D6" s="3" t="s">
        <v>177</v>
      </c>
      <c r="E6" s="5">
        <v>160000</v>
      </c>
      <c r="F6" s="23"/>
      <c r="G6" s="44">
        <v>45889</v>
      </c>
      <c r="H6" s="45">
        <v>120</v>
      </c>
      <c r="I6" s="48" t="str">
        <f t="shared" ref="I6:I13" si="0">IF(ISBLANK(G6),"",CONCATENATE(G6-$H$1+1," days"))</f>
        <v>50 days</v>
      </c>
      <c r="J6" s="21">
        <v>2</v>
      </c>
      <c r="K6" s="4">
        <v>45900</v>
      </c>
      <c r="L6" s="3" t="s">
        <v>197</v>
      </c>
      <c r="M6" s="5">
        <v>756496</v>
      </c>
      <c r="N6" s="22"/>
    </row>
    <row r="7" spans="2:14" x14ac:dyDescent="0.3">
      <c r="B7" s="41">
        <v>3</v>
      </c>
      <c r="C7" s="7"/>
      <c r="D7" s="3" t="s">
        <v>198</v>
      </c>
      <c r="E7" s="5">
        <v>920000</v>
      </c>
      <c r="F7" s="23"/>
      <c r="G7" s="44">
        <v>45893</v>
      </c>
      <c r="H7" s="45">
        <v>98</v>
      </c>
      <c r="I7" s="48" t="str">
        <f t="shared" si="0"/>
        <v>54 days</v>
      </c>
      <c r="J7" s="21">
        <v>3</v>
      </c>
      <c r="K7" s="4">
        <v>45901</v>
      </c>
      <c r="L7" s="3" t="s">
        <v>202</v>
      </c>
      <c r="M7" s="5">
        <v>940405.5</v>
      </c>
      <c r="N7" s="22" t="s">
        <v>200</v>
      </c>
    </row>
    <row r="8" spans="2:14" x14ac:dyDescent="0.3">
      <c r="B8" s="41">
        <v>4</v>
      </c>
      <c r="C8" s="7"/>
      <c r="D8" s="3" t="s">
        <v>201</v>
      </c>
      <c r="E8" s="5">
        <v>30000</v>
      </c>
      <c r="F8" s="22"/>
      <c r="G8" s="44">
        <v>45899</v>
      </c>
      <c r="H8" s="45">
        <v>78</v>
      </c>
      <c r="I8" s="48" t="str">
        <f t="shared" si="0"/>
        <v>60 days</v>
      </c>
      <c r="J8" s="21">
        <v>4</v>
      </c>
      <c r="K8" s="4">
        <v>45912</v>
      </c>
      <c r="L8" s="3" t="s">
        <v>208</v>
      </c>
      <c r="M8" s="5">
        <v>317988</v>
      </c>
      <c r="N8" s="22"/>
    </row>
    <row r="9" spans="2:14" x14ac:dyDescent="0.3">
      <c r="B9" s="41">
        <v>5</v>
      </c>
      <c r="C9" s="130"/>
      <c r="D9" s="15"/>
      <c r="E9" s="15"/>
      <c r="F9" s="22"/>
      <c r="G9" s="47">
        <v>45900</v>
      </c>
      <c r="H9" s="45">
        <v>81</v>
      </c>
      <c r="I9" s="48" t="str">
        <f t="shared" si="0"/>
        <v>61 days</v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/>
      <c r="D10" s="15"/>
      <c r="E10" s="15"/>
      <c r="F10" s="22"/>
      <c r="G10" s="47">
        <v>45901</v>
      </c>
      <c r="H10" s="45">
        <v>79</v>
      </c>
      <c r="I10" s="48" t="str">
        <f t="shared" si="0"/>
        <v>62 days</v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D11" s="15"/>
      <c r="E11" s="1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/>
      <c r="D12" s="3"/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2">
        <v>45840</v>
      </c>
      <c r="I15" s="153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4" t="s">
        <v>207</v>
      </c>
      <c r="I16" s="155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45884</v>
      </c>
      <c r="H19" s="45">
        <v>150</v>
      </c>
      <c r="I19" s="48" t="str">
        <f>IF(ISBLANK(G19),"",CONCATENATE(G19-$H$15+1," days"))</f>
        <v>45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45889</v>
      </c>
      <c r="H20" s="45">
        <v>120</v>
      </c>
      <c r="I20" s="48" t="str">
        <f t="shared" ref="I20:I26" si="1">IF(ISBLANK(G20),"",CONCATENATE(G20-$H$15+1," days"))</f>
        <v>50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>
        <v>45893</v>
      </c>
      <c r="H21" s="45">
        <v>97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45899</v>
      </c>
      <c r="H22" s="45">
        <v>80</v>
      </c>
      <c r="I22" s="48" t="str">
        <f t="shared" si="1"/>
        <v>60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>
        <v>45900</v>
      </c>
      <c r="H23" s="45">
        <v>74</v>
      </c>
      <c r="I23" s="48" t="str">
        <f t="shared" si="1"/>
        <v>61 days</v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47">
        <v>45907</v>
      </c>
      <c r="H24" s="45">
        <v>56</v>
      </c>
      <c r="I24" s="48" t="str">
        <f t="shared" si="1"/>
        <v>68 days</v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47">
        <v>45910</v>
      </c>
      <c r="H25" s="45">
        <v>50</v>
      </c>
      <c r="I25" s="48" t="str">
        <f t="shared" si="1"/>
        <v>71 days</v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47">
        <v>45912</v>
      </c>
      <c r="H26" s="45">
        <v>48</v>
      </c>
      <c r="I26" s="48" t="str">
        <f t="shared" si="1"/>
        <v>73 days</v>
      </c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2:14" x14ac:dyDescent="0.3">
      <c r="B31" s="24"/>
      <c r="C31" s="25"/>
      <c r="D31" s="26"/>
      <c r="E31" s="65" t="s">
        <v>67</v>
      </c>
      <c r="F31" s="85">
        <v>1050000</v>
      </c>
      <c r="G31" s="92" t="s">
        <v>190</v>
      </c>
      <c r="H31" s="128">
        <v>900000</v>
      </c>
      <c r="I31" s="60" t="s">
        <v>191</v>
      </c>
      <c r="J31" s="177">
        <v>150000</v>
      </c>
      <c r="K31" s="177"/>
      <c r="L31" s="98"/>
      <c r="M31" s="98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59" t="s">
        <v>66</v>
      </c>
      <c r="K32" s="159"/>
      <c r="L32" s="160" t="s">
        <v>162</v>
      </c>
      <c r="M32" s="160"/>
    </row>
    <row r="33" spans="2:13" x14ac:dyDescent="0.3">
      <c r="E33" s="15" t="s">
        <v>193</v>
      </c>
      <c r="F33" s="58">
        <f>H33*G33</f>
        <v>190815.8</v>
      </c>
      <c r="G33" s="58">
        <v>98</v>
      </c>
      <c r="H33" s="66">
        <v>1947.1</v>
      </c>
      <c r="I33" s="61">
        <v>240</v>
      </c>
      <c r="J33" s="145">
        <f>H33*I33</f>
        <v>467304</v>
      </c>
      <c r="K33" s="145"/>
      <c r="L33" s="84" t="s">
        <v>203</v>
      </c>
      <c r="M33" s="61">
        <v>100000</v>
      </c>
    </row>
    <row r="34" spans="2:13" x14ac:dyDescent="0.3">
      <c r="E34" s="15" t="s">
        <v>194</v>
      </c>
      <c r="F34" s="58">
        <f t="shared" ref="F34:F39" si="2">H34*G34</f>
        <v>21718.3</v>
      </c>
      <c r="G34" s="58">
        <v>97</v>
      </c>
      <c r="H34" s="66">
        <v>223.9</v>
      </c>
      <c r="I34" s="61">
        <v>240</v>
      </c>
      <c r="J34" s="145">
        <f t="shared" ref="J34:J39" si="3">H34*I34</f>
        <v>53736</v>
      </c>
      <c r="K34" s="145"/>
      <c r="L34" s="84" t="s">
        <v>206</v>
      </c>
      <c r="M34" s="61">
        <v>600000</v>
      </c>
    </row>
    <row r="35" spans="2:13" x14ac:dyDescent="0.3">
      <c r="C35" s="124"/>
      <c r="E35" s="15" t="s">
        <v>195</v>
      </c>
      <c r="F35" s="58">
        <f t="shared" si="2"/>
        <v>185004</v>
      </c>
      <c r="G35" s="58">
        <v>81</v>
      </c>
      <c r="H35" s="66">
        <v>2284</v>
      </c>
      <c r="I35" s="61">
        <v>265</v>
      </c>
      <c r="J35" s="145">
        <f t="shared" si="3"/>
        <v>605260</v>
      </c>
      <c r="K35" s="145"/>
      <c r="L35" s="84" t="s">
        <v>210</v>
      </c>
      <c r="M35" s="61">
        <v>700000</v>
      </c>
    </row>
    <row r="36" spans="2:13" x14ac:dyDescent="0.3">
      <c r="E36" s="15" t="s">
        <v>196</v>
      </c>
      <c r="F36" s="58">
        <f t="shared" si="2"/>
        <v>42231.8</v>
      </c>
      <c r="G36" s="58">
        <v>74</v>
      </c>
      <c r="H36" s="66">
        <v>570.70000000000005</v>
      </c>
      <c r="I36" s="61">
        <v>265</v>
      </c>
      <c r="J36" s="145">
        <f t="shared" si="3"/>
        <v>151235.5</v>
      </c>
      <c r="K36" s="145"/>
      <c r="L36" s="84" t="s">
        <v>61</v>
      </c>
      <c r="M36" s="61">
        <v>920000</v>
      </c>
    </row>
    <row r="37" spans="2:13" x14ac:dyDescent="0.3">
      <c r="E37" s="15" t="s">
        <v>199</v>
      </c>
      <c r="F37" s="58">
        <f t="shared" si="2"/>
        <v>280347.3</v>
      </c>
      <c r="G37" s="58">
        <v>79</v>
      </c>
      <c r="H37" s="66">
        <v>3548.7</v>
      </c>
      <c r="I37" s="61">
        <v>265</v>
      </c>
      <c r="J37" s="145">
        <f t="shared" si="3"/>
        <v>940405.5</v>
      </c>
      <c r="K37" s="145"/>
      <c r="L37" s="84" t="s">
        <v>211</v>
      </c>
      <c r="M37" s="61">
        <v>16000</v>
      </c>
    </row>
    <row r="38" spans="2:13" x14ac:dyDescent="0.3">
      <c r="E38" s="15" t="s">
        <v>209</v>
      </c>
      <c r="F38" s="58">
        <f t="shared" si="2"/>
        <v>46252.800000000003</v>
      </c>
      <c r="G38" s="58">
        <v>48</v>
      </c>
      <c r="H38" s="66">
        <v>963.6</v>
      </c>
      <c r="I38" s="61">
        <v>330</v>
      </c>
      <c r="J38" s="145">
        <f t="shared" si="3"/>
        <v>317988</v>
      </c>
      <c r="K38" s="145"/>
      <c r="L38" s="84" t="s">
        <v>213</v>
      </c>
      <c r="M38" s="61">
        <v>200000</v>
      </c>
    </row>
    <row r="39" spans="2:13" x14ac:dyDescent="0.3">
      <c r="E39" s="15"/>
      <c r="F39" s="58">
        <f t="shared" si="2"/>
        <v>0</v>
      </c>
      <c r="G39" s="58"/>
      <c r="H39" s="66"/>
      <c r="I39" s="61"/>
      <c r="J39" s="145">
        <f t="shared" si="3"/>
        <v>0</v>
      </c>
      <c r="K39" s="145"/>
      <c r="L39" s="84"/>
      <c r="M39" s="61"/>
    </row>
    <row r="40" spans="2:13" x14ac:dyDescent="0.3">
      <c r="E40" s="51" t="s">
        <v>62</v>
      </c>
      <c r="F40" s="59">
        <f>SUM(F33:F38)</f>
        <v>766370</v>
      </c>
      <c r="G40" s="59"/>
      <c r="H40" s="83">
        <f>SUM(H33:H39)</f>
        <v>9538</v>
      </c>
      <c r="I40" s="51"/>
      <c r="J40" s="146">
        <f>SUM(J33:J39)</f>
        <v>2535929</v>
      </c>
      <c r="K40" s="146"/>
      <c r="L40" s="51" t="s">
        <v>92</v>
      </c>
      <c r="M40" s="5">
        <f>SUM(M33:M39)</f>
        <v>2536000</v>
      </c>
    </row>
    <row r="41" spans="2:13" ht="15" thickBot="1" x14ac:dyDescent="0.35">
      <c r="E41" s="51" t="s">
        <v>130</v>
      </c>
      <c r="F41" s="107" t="str">
        <f>CONCATENATE(ROUND((F40/F31)*100,2),"%")</f>
        <v>72.99%</v>
      </c>
      <c r="G41" s="15"/>
      <c r="H41" s="57"/>
      <c r="I41" s="15"/>
      <c r="J41" s="147"/>
      <c r="K41" s="147"/>
      <c r="L41" s="82" t="s">
        <v>93</v>
      </c>
      <c r="M41" s="5">
        <f>J40-M40</f>
        <v>-71</v>
      </c>
    </row>
    <row r="42" spans="2:13" x14ac:dyDescent="0.3">
      <c r="D42" s="40"/>
      <c r="L42" s="67"/>
      <c r="M42" s="40"/>
    </row>
    <row r="43" spans="2:13" x14ac:dyDescent="0.3">
      <c r="B43" s="148" t="s">
        <v>204</v>
      </c>
      <c r="C43" s="148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</row>
    <row r="44" spans="2:13" x14ac:dyDescent="0.3">
      <c r="D44" s="40"/>
      <c r="F44" s="26"/>
      <c r="G44" s="26"/>
      <c r="H44" s="26"/>
      <c r="I44" s="26"/>
      <c r="J44" s="26"/>
      <c r="K44" s="26"/>
    </row>
    <row r="46" spans="2:13" x14ac:dyDescent="0.3">
      <c r="E46" s="131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B43:C43"/>
  </mergeCells>
  <conditionalFormatting sqref="K1:L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L5">
    <cfRule type="duplicateValues" dxfId="24" priority="1"/>
  </conditionalFormatting>
  <conditionalFormatting sqref="L6:L22">
    <cfRule type="duplicateValues" dxfId="23" priority="4"/>
  </conditionalFormatting>
  <conditionalFormatting sqref="M5:M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B1:N56"/>
  <sheetViews>
    <sheetView zoomScaleNormal="100" workbookViewId="0">
      <pane ySplit="1" topLeftCell="A2" activePane="bottomLeft" state="frozen"/>
      <selection pane="bottomLeft" activeCell="E11" sqref="E11"/>
    </sheetView>
  </sheetViews>
  <sheetFormatPr defaultRowHeight="14.4" x14ac:dyDescent="0.3"/>
  <cols>
    <col min="1" max="1" width="1.8867187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17.664062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231</v>
      </c>
      <c r="C1" s="163"/>
      <c r="D1" s="163"/>
      <c r="E1" s="163"/>
      <c r="F1" s="164"/>
      <c r="G1" s="16" t="s">
        <v>25</v>
      </c>
      <c r="H1" s="152">
        <v>45918</v>
      </c>
      <c r="I1" s="153"/>
      <c r="J1" s="17" t="s">
        <v>15</v>
      </c>
      <c r="K1" s="165">
        <f>M2-E2</f>
        <v>979350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1551000</v>
      </c>
      <c r="F2" s="20"/>
      <c r="G2" s="32" t="s">
        <v>32</v>
      </c>
      <c r="H2" s="154" t="s">
        <v>263</v>
      </c>
      <c r="I2" s="169"/>
      <c r="J2" s="38"/>
      <c r="K2" s="10"/>
      <c r="L2" s="11" t="s">
        <v>14</v>
      </c>
      <c r="M2" s="12">
        <f>SUM(M5:M22)</f>
        <v>2530350</v>
      </c>
      <c r="N2" s="20"/>
    </row>
    <row r="3" spans="2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45918</v>
      </c>
      <c r="D5" s="26" t="s">
        <v>19</v>
      </c>
      <c r="E5" s="9">
        <v>288000</v>
      </c>
      <c r="F5" s="23" t="s">
        <v>227</v>
      </c>
      <c r="G5" s="44">
        <v>45972</v>
      </c>
      <c r="H5" s="45">
        <v>90</v>
      </c>
      <c r="I5" s="48" t="str">
        <f>IF(ISBLANK(G5),"",CONCATENATE(G5-$H$1+1," days"))</f>
        <v>55 days</v>
      </c>
      <c r="J5" s="21">
        <v>1</v>
      </c>
      <c r="K5" s="44">
        <v>45975</v>
      </c>
      <c r="L5" s="3" t="s">
        <v>223</v>
      </c>
      <c r="M5" s="5">
        <v>496056</v>
      </c>
      <c r="N5" s="22"/>
    </row>
    <row r="6" spans="2:14" x14ac:dyDescent="0.3">
      <c r="B6" s="41">
        <v>2</v>
      </c>
      <c r="C6" s="7">
        <v>45918</v>
      </c>
      <c r="D6" s="3" t="s">
        <v>212</v>
      </c>
      <c r="E6" s="5">
        <v>17500</v>
      </c>
      <c r="F6" s="23"/>
      <c r="G6" s="44">
        <v>45974</v>
      </c>
      <c r="H6" s="45">
        <v>93</v>
      </c>
      <c r="I6" s="48" t="str">
        <f t="shared" ref="I6:I13" si="0">IF(ISBLANK(G6),"",CONCATENATE(G6-$H$1+1," days"))</f>
        <v>57 days</v>
      </c>
      <c r="J6" s="21">
        <v>2</v>
      </c>
      <c r="K6" s="4">
        <v>45985</v>
      </c>
      <c r="L6" s="3" t="s">
        <v>229</v>
      </c>
      <c r="M6" s="5">
        <v>644160</v>
      </c>
      <c r="N6" s="22"/>
    </row>
    <row r="7" spans="2:14" x14ac:dyDescent="0.3">
      <c r="B7" s="41">
        <v>3</v>
      </c>
      <c r="C7" s="7">
        <v>45961</v>
      </c>
      <c r="D7" s="3" t="s">
        <v>235</v>
      </c>
      <c r="E7" s="5">
        <v>996000</v>
      </c>
      <c r="F7" s="23"/>
      <c r="G7" s="44">
        <v>45975</v>
      </c>
      <c r="H7" s="45">
        <v>88</v>
      </c>
      <c r="I7" s="48" t="str">
        <f t="shared" si="0"/>
        <v>58 days</v>
      </c>
      <c r="J7" s="21">
        <v>3</v>
      </c>
      <c r="K7" s="4">
        <v>45995</v>
      </c>
      <c r="L7" s="3" t="s">
        <v>233</v>
      </c>
      <c r="M7" s="5">
        <v>1136588</v>
      </c>
      <c r="N7" s="22"/>
    </row>
    <row r="8" spans="2:14" x14ac:dyDescent="0.3">
      <c r="B8" s="41">
        <v>4</v>
      </c>
      <c r="C8" s="7">
        <v>45956</v>
      </c>
      <c r="D8" s="3" t="s">
        <v>224</v>
      </c>
      <c r="E8" s="5">
        <v>15000</v>
      </c>
      <c r="F8" s="22"/>
      <c r="G8" s="44">
        <v>45982</v>
      </c>
      <c r="H8" s="45">
        <v>72</v>
      </c>
      <c r="I8" s="48" t="str">
        <f t="shared" si="0"/>
        <v>65 days</v>
      </c>
      <c r="J8" s="21">
        <v>4</v>
      </c>
      <c r="K8" s="4">
        <v>45995</v>
      </c>
      <c r="L8" s="3" t="s">
        <v>234</v>
      </c>
      <c r="M8" s="5">
        <v>244273.5</v>
      </c>
      <c r="N8" s="22"/>
    </row>
    <row r="9" spans="2:14" x14ac:dyDescent="0.3">
      <c r="B9" s="41">
        <v>5</v>
      </c>
      <c r="C9" s="7">
        <v>45995</v>
      </c>
      <c r="D9" s="3" t="s">
        <v>232</v>
      </c>
      <c r="E9" s="5">
        <v>100000</v>
      </c>
      <c r="F9" s="22"/>
      <c r="G9" s="47">
        <v>45985</v>
      </c>
      <c r="H9" s="45">
        <v>68</v>
      </c>
      <c r="I9" s="48" t="str">
        <f t="shared" si="0"/>
        <v>68 days</v>
      </c>
      <c r="J9" s="21">
        <v>5</v>
      </c>
      <c r="K9" s="4">
        <v>46001</v>
      </c>
      <c r="L9" s="3" t="s">
        <v>238</v>
      </c>
      <c r="M9" s="5">
        <v>3182.5</v>
      </c>
      <c r="N9" s="22"/>
    </row>
    <row r="10" spans="2:14" x14ac:dyDescent="0.3">
      <c r="B10" s="41">
        <v>6</v>
      </c>
      <c r="C10" s="7">
        <v>45995</v>
      </c>
      <c r="D10" s="3" t="s">
        <v>73</v>
      </c>
      <c r="E10" s="5">
        <v>70000</v>
      </c>
      <c r="F10" s="22"/>
      <c r="G10" s="47">
        <v>45991</v>
      </c>
      <c r="H10" s="45">
        <v>62</v>
      </c>
      <c r="I10" s="48" t="str">
        <f t="shared" si="0"/>
        <v>74 days</v>
      </c>
      <c r="J10" s="21">
        <v>6</v>
      </c>
      <c r="K10" s="4">
        <v>46003</v>
      </c>
      <c r="L10" s="3" t="s">
        <v>237</v>
      </c>
      <c r="M10" s="5">
        <v>6090</v>
      </c>
      <c r="N10" s="22"/>
    </row>
    <row r="11" spans="2:14" x14ac:dyDescent="0.3">
      <c r="B11" s="41">
        <v>7</v>
      </c>
      <c r="C11" s="7">
        <v>45995</v>
      </c>
      <c r="D11" s="3" t="s">
        <v>245</v>
      </c>
      <c r="E11" s="5">
        <v>34500</v>
      </c>
      <c r="F11" s="22"/>
      <c r="G11" s="47">
        <v>45995</v>
      </c>
      <c r="H11" s="45">
        <v>58</v>
      </c>
      <c r="I11" s="48" t="str">
        <f t="shared" si="0"/>
        <v>78 days</v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45995</v>
      </c>
      <c r="D12" s="3" t="s">
        <v>268</v>
      </c>
      <c r="E12" s="5">
        <v>30000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2">
        <v>45918</v>
      </c>
      <c r="I15" s="153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4" t="s">
        <v>263</v>
      </c>
      <c r="I16" s="155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 t="s">
        <v>142</v>
      </c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45972</v>
      </c>
      <c r="H19" s="45">
        <v>130</v>
      </c>
      <c r="I19" s="48" t="str">
        <f>IF(ISBLANK(G19),"",CONCATENATE(G19-$H$15+1," days"))</f>
        <v>55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45979</v>
      </c>
      <c r="H20" s="45">
        <v>110</v>
      </c>
      <c r="I20" s="48" t="str">
        <f t="shared" ref="I20:I25" si="1">IF(ISBLANK(G20),"",CONCATENATE(G20-$H$15+1," days"))</f>
        <v>62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>
        <v>45991</v>
      </c>
      <c r="H21" s="45">
        <v>93</v>
      </c>
      <c r="I21" s="48" t="str">
        <f t="shared" si="1"/>
        <v>74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45995</v>
      </c>
      <c r="H22" s="45">
        <v>78</v>
      </c>
      <c r="I22" s="48" t="str">
        <f t="shared" si="1"/>
        <v>78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v>900000</v>
      </c>
      <c r="G31" s="92" t="s">
        <v>190</v>
      </c>
      <c r="H31" s="85">
        <v>750000</v>
      </c>
      <c r="I31" s="60" t="s">
        <v>191</v>
      </c>
      <c r="J31" s="85">
        <v>150000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59" t="s">
        <v>66</v>
      </c>
      <c r="K32" s="159"/>
      <c r="L32" s="160" t="s">
        <v>162</v>
      </c>
      <c r="M32" s="161"/>
      <c r="N32" s="15"/>
    </row>
    <row r="33" spans="2:14" x14ac:dyDescent="0.3">
      <c r="E33" s="15" t="s">
        <v>222</v>
      </c>
      <c r="F33" s="58">
        <f>H33*G33</f>
        <v>181887.2</v>
      </c>
      <c r="G33" s="58">
        <v>88</v>
      </c>
      <c r="H33" s="66">
        <v>2066.9</v>
      </c>
      <c r="I33" s="61">
        <v>240</v>
      </c>
      <c r="J33" s="145">
        <f>H33*I33</f>
        <v>496056</v>
      </c>
      <c r="K33" s="145"/>
      <c r="L33" s="84" t="s">
        <v>236</v>
      </c>
      <c r="M33" s="134">
        <v>50000</v>
      </c>
      <c r="N33" s="15"/>
    </row>
    <row r="34" spans="2:14" x14ac:dyDescent="0.3">
      <c r="E34" s="15" t="s">
        <v>225</v>
      </c>
      <c r="F34" s="58">
        <f t="shared" ref="F34:F39" si="2">H34*G34</f>
        <v>146009.59999999998</v>
      </c>
      <c r="G34" s="58">
        <v>68</v>
      </c>
      <c r="H34" s="66">
        <v>2147.1999999999998</v>
      </c>
      <c r="I34" s="61">
        <v>300</v>
      </c>
      <c r="J34" s="145">
        <f t="shared" ref="J34:J39" si="3">H34*I34</f>
        <v>644160</v>
      </c>
      <c r="K34" s="145"/>
      <c r="L34" s="84" t="s">
        <v>61</v>
      </c>
      <c r="M34" s="134">
        <v>996688</v>
      </c>
      <c r="N34" s="15"/>
    </row>
    <row r="35" spans="2:14" x14ac:dyDescent="0.3">
      <c r="C35" s="124"/>
      <c r="E35" s="15" t="s">
        <v>172</v>
      </c>
      <c r="F35" s="58">
        <f t="shared" si="2"/>
        <v>196782.40000000002</v>
      </c>
      <c r="G35" s="58">
        <v>58</v>
      </c>
      <c r="H35" s="66">
        <v>3392.8</v>
      </c>
      <c r="I35" s="61">
        <v>335</v>
      </c>
      <c r="J35" s="145">
        <f t="shared" si="3"/>
        <v>1136588</v>
      </c>
      <c r="K35" s="145"/>
      <c r="L35" s="84" t="s">
        <v>246</v>
      </c>
      <c r="M35" s="134">
        <v>500000</v>
      </c>
      <c r="N35" s="15" t="s">
        <v>142</v>
      </c>
    </row>
    <row r="36" spans="2:14" x14ac:dyDescent="0.3">
      <c r="E36" s="15" t="s">
        <v>228</v>
      </c>
      <c r="F36" s="58">
        <f t="shared" si="2"/>
        <v>66853.8</v>
      </c>
      <c r="G36" s="58">
        <v>78</v>
      </c>
      <c r="H36" s="66">
        <v>857.1</v>
      </c>
      <c r="I36" s="61">
        <v>285</v>
      </c>
      <c r="J36" s="145">
        <f t="shared" si="3"/>
        <v>244273.5</v>
      </c>
      <c r="K36" s="145"/>
      <c r="L36" s="84" t="s">
        <v>247</v>
      </c>
      <c r="M36" s="134">
        <v>500000</v>
      </c>
      <c r="N36" s="15"/>
    </row>
    <row r="37" spans="2:14" x14ac:dyDescent="0.3">
      <c r="E37" s="15" t="s">
        <v>238</v>
      </c>
      <c r="F37" s="58">
        <f t="shared" si="2"/>
        <v>570</v>
      </c>
      <c r="G37" s="58">
        <v>60</v>
      </c>
      <c r="H37" s="66">
        <v>9.5</v>
      </c>
      <c r="I37" s="61">
        <v>335</v>
      </c>
      <c r="J37" s="145">
        <f t="shared" si="3"/>
        <v>3182.5</v>
      </c>
      <c r="K37" s="145"/>
      <c r="L37" s="84" t="s">
        <v>249</v>
      </c>
      <c r="M37" s="134">
        <v>300000</v>
      </c>
      <c r="N37" s="15"/>
    </row>
    <row r="38" spans="2:14" x14ac:dyDescent="0.3">
      <c r="E38" s="15" t="s">
        <v>237</v>
      </c>
      <c r="F38" s="58">
        <f t="shared" si="2"/>
        <v>1680</v>
      </c>
      <c r="G38" s="58">
        <v>80</v>
      </c>
      <c r="H38" s="66">
        <v>21</v>
      </c>
      <c r="I38" s="61">
        <v>290</v>
      </c>
      <c r="J38" s="145">
        <f t="shared" si="3"/>
        <v>6090</v>
      </c>
      <c r="K38" s="145"/>
      <c r="L38" s="84" t="s">
        <v>236</v>
      </c>
      <c r="M38" s="134">
        <v>50000</v>
      </c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45">
        <f t="shared" si="3"/>
        <v>0</v>
      </c>
      <c r="K39" s="145"/>
      <c r="L39" s="84" t="s">
        <v>73</v>
      </c>
      <c r="M39" s="134">
        <v>136000</v>
      </c>
      <c r="N39" s="15"/>
    </row>
    <row r="40" spans="2:14" x14ac:dyDescent="0.3">
      <c r="E40" s="51" t="s">
        <v>62</v>
      </c>
      <c r="F40" s="59">
        <f>SUM(F33:F38)</f>
        <v>593783</v>
      </c>
      <c r="G40" s="59"/>
      <c r="H40" s="83">
        <f>SUM(H33:H39)</f>
        <v>8494.5</v>
      </c>
      <c r="I40" s="51"/>
      <c r="J40" s="146">
        <f>SUM(J33:J39)</f>
        <v>2530350</v>
      </c>
      <c r="K40" s="146"/>
      <c r="L40" s="51" t="s">
        <v>92</v>
      </c>
      <c r="M40" s="135">
        <f>SUM(M33:M39)</f>
        <v>2532688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65.98%</v>
      </c>
      <c r="G41" s="15"/>
      <c r="H41" s="57"/>
      <c r="I41" s="15"/>
      <c r="J41" s="147"/>
      <c r="K41" s="147"/>
      <c r="L41" s="82" t="s">
        <v>93</v>
      </c>
      <c r="M41" s="103">
        <f>J40-M40</f>
        <v>-2338</v>
      </c>
      <c r="N41" s="15"/>
    </row>
    <row r="42" spans="2:14" x14ac:dyDescent="0.3">
      <c r="D42" s="40"/>
      <c r="L42" s="67"/>
      <c r="M42" s="40"/>
    </row>
    <row r="43" spans="2:14" x14ac:dyDescent="0.3">
      <c r="B43" s="148" t="s">
        <v>204</v>
      </c>
      <c r="C43" s="148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48" t="s">
        <v>204</v>
      </c>
      <c r="C44" s="148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47" spans="2:14" x14ac:dyDescent="0.3">
      <c r="C47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B44:C44"/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2:K32"/>
    <mergeCell ref="L32:M32"/>
    <mergeCell ref="J39:K39"/>
    <mergeCell ref="J40:K40"/>
    <mergeCell ref="J41:K41"/>
    <mergeCell ref="B43:C43"/>
    <mergeCell ref="J33:K33"/>
    <mergeCell ref="J34:K34"/>
    <mergeCell ref="J35:K35"/>
    <mergeCell ref="J36:K36"/>
    <mergeCell ref="J38:K38"/>
  </mergeCells>
  <conditionalFormatting sqref="K1:L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L5:L6">
    <cfRule type="duplicateValues" dxfId="19" priority="1"/>
  </conditionalFormatting>
  <conditionalFormatting sqref="L7:L22">
    <cfRule type="duplicateValues" dxfId="18" priority="4"/>
  </conditionalFormatting>
  <conditionalFormatting sqref="M5:M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B1:N56"/>
  <sheetViews>
    <sheetView zoomScale="105" zoomScaleNormal="100" workbookViewId="0">
      <pane ySplit="1" topLeftCell="A23" activePane="bottomLeft" state="frozen"/>
      <selection pane="bottomLeft" activeCell="E2" sqref="E2"/>
    </sheetView>
  </sheetViews>
  <sheetFormatPr defaultRowHeight="14.4" x14ac:dyDescent="0.3"/>
  <cols>
    <col min="1" max="1" width="2.332031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15.5546875" style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252</v>
      </c>
      <c r="C1" s="163"/>
      <c r="D1" s="163"/>
      <c r="E1" s="163"/>
      <c r="F1" s="164"/>
      <c r="G1" s="16" t="s">
        <v>25</v>
      </c>
      <c r="H1" s="152">
        <v>46016</v>
      </c>
      <c r="I1" s="153"/>
      <c r="J1" s="17" t="s">
        <v>15</v>
      </c>
      <c r="K1" s="165">
        <f>M2-E2</f>
        <v>-469722.5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585000</v>
      </c>
      <c r="F2" s="20"/>
      <c r="G2" s="32" t="s">
        <v>32</v>
      </c>
      <c r="H2" s="154" t="s">
        <v>266</v>
      </c>
      <c r="I2" s="169"/>
      <c r="J2" s="38"/>
      <c r="K2" s="10"/>
      <c r="L2" s="11" t="s">
        <v>14</v>
      </c>
      <c r="M2" s="12">
        <f>SUM(M5:M22)</f>
        <v>115277.5</v>
      </c>
      <c r="N2" s="20"/>
    </row>
    <row r="3" spans="2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46016</v>
      </c>
      <c r="D5" s="26" t="s">
        <v>19</v>
      </c>
      <c r="E5" s="9">
        <v>288000</v>
      </c>
      <c r="F5" s="23" t="s">
        <v>250</v>
      </c>
      <c r="G5" s="44">
        <v>46049</v>
      </c>
      <c r="H5" s="45">
        <v>518</v>
      </c>
      <c r="I5" s="48" t="str">
        <f>IF(ISBLANK(G5),"",CONCATENATE(G5-$H$1+1," days"))</f>
        <v>34 days</v>
      </c>
      <c r="J5" s="21">
        <v>1</v>
      </c>
      <c r="K5" s="44">
        <v>46046</v>
      </c>
      <c r="L5" s="3" t="s">
        <v>255</v>
      </c>
      <c r="M5" s="5">
        <v>0</v>
      </c>
      <c r="N5" s="22" t="s">
        <v>251</v>
      </c>
    </row>
    <row r="6" spans="2:14" x14ac:dyDescent="0.3">
      <c r="B6" s="41">
        <v>2</v>
      </c>
      <c r="C6" s="7">
        <v>46016</v>
      </c>
      <c r="D6" s="3" t="s">
        <v>248</v>
      </c>
      <c r="E6" s="5">
        <v>13000</v>
      </c>
      <c r="F6" s="23"/>
      <c r="G6" s="44"/>
      <c r="H6" s="45"/>
      <c r="I6" s="48" t="str">
        <f t="shared" ref="I6:I13" si="0">IF(ISBLANK(G6),"",CONCATENATE(G6-$H$1+1," days"))</f>
        <v/>
      </c>
      <c r="J6" s="21">
        <v>2</v>
      </c>
      <c r="K6" s="4">
        <v>46049</v>
      </c>
      <c r="L6" s="3" t="s">
        <v>254</v>
      </c>
      <c r="M6" s="5">
        <v>115277.5</v>
      </c>
      <c r="N6" s="22" t="s">
        <v>251</v>
      </c>
    </row>
    <row r="7" spans="2:14" x14ac:dyDescent="0.3">
      <c r="B7" s="41">
        <v>3</v>
      </c>
      <c r="C7" s="7">
        <v>46046</v>
      </c>
      <c r="D7" s="3" t="s">
        <v>257</v>
      </c>
      <c r="E7" s="5">
        <v>250000</v>
      </c>
      <c r="F7" s="23"/>
      <c r="G7" s="44"/>
      <c r="H7" s="45"/>
      <c r="I7" s="48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1">
        <v>4</v>
      </c>
      <c r="C8" s="7">
        <v>46046</v>
      </c>
      <c r="D8" s="3" t="s">
        <v>245</v>
      </c>
      <c r="E8" s="5">
        <v>34000</v>
      </c>
      <c r="F8" s="22"/>
      <c r="G8" s="44"/>
      <c r="H8" s="45"/>
      <c r="I8" s="48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/>
      <c r="D9" s="15"/>
      <c r="E9" s="15"/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/>
      <c r="D10" s="15"/>
      <c r="E10" s="1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D11" s="15"/>
      <c r="E11" s="1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/>
      <c r="D12" s="3"/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2">
        <v>46016</v>
      </c>
      <c r="I15" s="153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4" t="s">
        <v>267</v>
      </c>
      <c r="I16" s="155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/>
      <c r="H19" s="45"/>
      <c r="I19" s="48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/>
      <c r="H20" s="45"/>
      <c r="I20" s="48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v>990000</v>
      </c>
      <c r="G31" s="92" t="s">
        <v>190</v>
      </c>
      <c r="H31" s="85">
        <v>830000</v>
      </c>
      <c r="I31" s="60" t="s">
        <v>191</v>
      </c>
      <c r="J31" s="85">
        <v>160000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59" t="s">
        <v>66</v>
      </c>
      <c r="K32" s="159"/>
      <c r="L32" s="160" t="s">
        <v>162</v>
      </c>
      <c r="M32" s="161"/>
      <c r="N32" s="15"/>
    </row>
    <row r="33" spans="2:14" x14ac:dyDescent="0.3">
      <c r="E33" s="15" t="s">
        <v>254</v>
      </c>
      <c r="F33" s="58">
        <f>H33*G33</f>
        <v>918673</v>
      </c>
      <c r="G33" s="58">
        <v>518</v>
      </c>
      <c r="H33" s="66">
        <v>1773.5</v>
      </c>
      <c r="I33" s="61">
        <v>65</v>
      </c>
      <c r="J33" s="145">
        <f>H33*I33</f>
        <v>115277.5</v>
      </c>
      <c r="K33" s="145"/>
      <c r="L33" s="84" t="s">
        <v>61</v>
      </c>
      <c r="M33" s="134">
        <v>250000</v>
      </c>
      <c r="N33" s="15"/>
    </row>
    <row r="34" spans="2:14" x14ac:dyDescent="0.3">
      <c r="E34" s="15"/>
      <c r="F34" s="58">
        <f t="shared" ref="F34:F39" si="2">H34*G34</f>
        <v>0</v>
      </c>
      <c r="G34" s="58"/>
      <c r="H34" s="66"/>
      <c r="I34" s="61"/>
      <c r="J34" s="145">
        <f t="shared" ref="J34:J39" si="3">H34*I34</f>
        <v>0</v>
      </c>
      <c r="K34" s="145"/>
      <c r="L34" s="84"/>
      <c r="M34" s="134"/>
      <c r="N34" s="15"/>
    </row>
    <row r="35" spans="2:14" x14ac:dyDescent="0.3">
      <c r="C35" s="124"/>
      <c r="E35" s="15"/>
      <c r="F35" s="58">
        <f t="shared" si="2"/>
        <v>0</v>
      </c>
      <c r="G35" s="58"/>
      <c r="H35" s="66"/>
      <c r="I35" s="61"/>
      <c r="J35" s="145">
        <f t="shared" si="3"/>
        <v>0</v>
      </c>
      <c r="K35" s="145"/>
      <c r="L35" s="84"/>
      <c r="M35" s="134"/>
      <c r="N35" s="15" t="s">
        <v>142</v>
      </c>
    </row>
    <row r="36" spans="2:14" x14ac:dyDescent="0.3">
      <c r="E36" s="15"/>
      <c r="F36" s="58">
        <f t="shared" si="2"/>
        <v>0</v>
      </c>
      <c r="G36" s="58"/>
      <c r="H36" s="66"/>
      <c r="I36" s="61"/>
      <c r="J36" s="145">
        <f t="shared" si="3"/>
        <v>0</v>
      </c>
      <c r="K36" s="145"/>
      <c r="L36" s="2"/>
      <c r="M36" s="134"/>
      <c r="N36" s="15"/>
    </row>
    <row r="37" spans="2:14" x14ac:dyDescent="0.3">
      <c r="E37" s="15"/>
      <c r="F37" s="58">
        <f t="shared" si="2"/>
        <v>0</v>
      </c>
      <c r="G37" s="58"/>
      <c r="H37" s="66"/>
      <c r="I37" s="61"/>
      <c r="J37" s="145">
        <f t="shared" si="3"/>
        <v>0</v>
      </c>
      <c r="K37" s="145"/>
      <c r="L37" s="84"/>
      <c r="M37" s="134"/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45">
        <f t="shared" si="3"/>
        <v>0</v>
      </c>
      <c r="K38" s="145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45">
        <f t="shared" si="3"/>
        <v>0</v>
      </c>
      <c r="K39" s="145"/>
      <c r="L39" s="84"/>
      <c r="M39" s="134"/>
      <c r="N39" s="15"/>
    </row>
    <row r="40" spans="2:14" x14ac:dyDescent="0.3">
      <c r="E40" s="51" t="s">
        <v>62</v>
      </c>
      <c r="F40" s="59">
        <f>SUM(F33:F38)</f>
        <v>918673</v>
      </c>
      <c r="G40" s="59"/>
      <c r="H40" s="83">
        <f>SUM(H33:H39)</f>
        <v>1773.5</v>
      </c>
      <c r="I40" s="51"/>
      <c r="J40" s="146">
        <f>SUM(J33:J39)</f>
        <v>115277.5</v>
      </c>
      <c r="K40" s="146"/>
      <c r="L40" s="51" t="s">
        <v>92</v>
      </c>
      <c r="M40" s="135">
        <f>SUM(M33:M39)</f>
        <v>250000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92.8%</v>
      </c>
      <c r="G41" s="15"/>
      <c r="H41" s="57"/>
      <c r="I41" s="15"/>
      <c r="J41" s="147"/>
      <c r="K41" s="147"/>
      <c r="L41" s="82" t="s">
        <v>93</v>
      </c>
      <c r="M41" s="103">
        <f>J40-M40</f>
        <v>-134722.5</v>
      </c>
      <c r="N41" s="15"/>
    </row>
    <row r="42" spans="2:14" x14ac:dyDescent="0.3">
      <c r="D42" s="40"/>
      <c r="L42" s="67"/>
      <c r="M42" s="40"/>
    </row>
    <row r="43" spans="2:14" x14ac:dyDescent="0.3">
      <c r="B43" s="148" t="s">
        <v>204</v>
      </c>
      <c r="C43" s="148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48" t="s">
        <v>204</v>
      </c>
      <c r="C44" s="148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47" spans="2:14" x14ac:dyDescent="0.3">
      <c r="C47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L5:L6">
    <cfRule type="duplicateValues" dxfId="14" priority="1"/>
  </conditionalFormatting>
  <conditionalFormatting sqref="L7:L22">
    <cfRule type="duplicateValues" dxfId="13" priority="4"/>
  </conditionalFormatting>
  <conditionalFormatting sqref="M5:M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B1:N56"/>
  <sheetViews>
    <sheetView zoomScale="95" zoomScaleNormal="100" workbookViewId="0">
      <pane ySplit="1" topLeftCell="A2" activePane="bottomLeft" state="frozen"/>
      <selection pane="bottomLeft" activeCell="F33" sqref="F33:F35"/>
    </sheetView>
  </sheetViews>
  <sheetFormatPr defaultRowHeight="14.4" x14ac:dyDescent="0.3"/>
  <cols>
    <col min="1" max="1" width="2.66406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253</v>
      </c>
      <c r="C1" s="163"/>
      <c r="D1" s="163"/>
      <c r="E1" s="163"/>
      <c r="F1" s="164"/>
      <c r="G1" s="16" t="s">
        <v>25</v>
      </c>
      <c r="H1" s="152">
        <v>46068</v>
      </c>
      <c r="I1" s="153"/>
      <c r="J1" s="17" t="s">
        <v>15</v>
      </c>
      <c r="K1" s="165">
        <f>M2-E2</f>
        <v>610376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1578900</v>
      </c>
      <c r="F2" s="20"/>
      <c r="G2" s="32" t="s">
        <v>32</v>
      </c>
      <c r="H2" s="154" t="s">
        <v>279</v>
      </c>
      <c r="I2" s="169"/>
      <c r="J2" s="38"/>
      <c r="K2" s="10"/>
      <c r="L2" s="11" t="s">
        <v>14</v>
      </c>
      <c r="M2" s="12">
        <f>SUM(M5:M22)</f>
        <v>2189276</v>
      </c>
      <c r="N2" s="20"/>
    </row>
    <row r="3" spans="2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46068</v>
      </c>
      <c r="D5" s="26" t="s">
        <v>19</v>
      </c>
      <c r="E5" s="9">
        <v>256000</v>
      </c>
      <c r="F5" s="23"/>
      <c r="G5" s="44">
        <v>46124</v>
      </c>
      <c r="H5" s="45">
        <v>166</v>
      </c>
      <c r="I5" s="48" t="str">
        <f>IF(ISBLANK(G5),"",CONCATENATE(G5-$H$1+1," days"))</f>
        <v>57 days</v>
      </c>
      <c r="J5" s="21">
        <v>1</v>
      </c>
      <c r="K5" s="44">
        <v>46132</v>
      </c>
      <c r="L5" s="3" t="s">
        <v>273</v>
      </c>
      <c r="M5" s="5">
        <v>456768</v>
      </c>
      <c r="N5" s="22"/>
    </row>
    <row r="6" spans="2:14" x14ac:dyDescent="0.3">
      <c r="B6" s="41">
        <v>2</v>
      </c>
      <c r="C6" s="7">
        <v>46068</v>
      </c>
      <c r="D6" s="3" t="s">
        <v>248</v>
      </c>
      <c r="E6" s="5">
        <v>33000</v>
      </c>
      <c r="F6" s="23" t="s">
        <v>284</v>
      </c>
      <c r="G6" s="44">
        <v>46127</v>
      </c>
      <c r="H6" s="45">
        <v>150</v>
      </c>
      <c r="I6" s="48" t="str">
        <f t="shared" ref="I6:I13" si="0">IF(ISBLANK(G6),"",CONCATENATE(G6-$H$1+1," days"))</f>
        <v>60 days</v>
      </c>
      <c r="J6" s="21">
        <v>2</v>
      </c>
      <c r="K6" s="4">
        <v>46138</v>
      </c>
      <c r="L6" s="3" t="s">
        <v>275</v>
      </c>
      <c r="M6" s="5">
        <v>1524733</v>
      </c>
      <c r="N6" s="22"/>
    </row>
    <row r="7" spans="2:14" x14ac:dyDescent="0.3">
      <c r="B7" s="41">
        <v>3</v>
      </c>
      <c r="C7" s="7">
        <v>46072</v>
      </c>
      <c r="D7" s="3" t="s">
        <v>29</v>
      </c>
      <c r="E7" s="5">
        <v>38672</v>
      </c>
      <c r="F7" s="23"/>
      <c r="G7" s="44">
        <v>46131</v>
      </c>
      <c r="H7" s="45">
        <v>133</v>
      </c>
      <c r="I7" s="48" t="str">
        <f t="shared" si="0"/>
        <v>64 days</v>
      </c>
      <c r="J7" s="21">
        <v>3</v>
      </c>
      <c r="K7" s="4">
        <v>46138</v>
      </c>
      <c r="L7" s="3" t="s">
        <v>276</v>
      </c>
      <c r="M7" s="5">
        <v>207775</v>
      </c>
      <c r="N7" s="22"/>
    </row>
    <row r="8" spans="2:14" x14ac:dyDescent="0.3">
      <c r="B8" s="41">
        <v>4</v>
      </c>
      <c r="C8" s="7">
        <v>46067</v>
      </c>
      <c r="D8" s="3" t="s">
        <v>29</v>
      </c>
      <c r="E8" s="5">
        <v>15813</v>
      </c>
      <c r="F8" s="22"/>
      <c r="G8" s="44">
        <v>46132</v>
      </c>
      <c r="H8" s="45">
        <v>131</v>
      </c>
      <c r="I8" s="48" t="str">
        <f t="shared" si="0"/>
        <v>65 days</v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>
        <v>46107</v>
      </c>
      <c r="D9" s="3" t="s">
        <v>224</v>
      </c>
      <c r="E9" s="9">
        <v>6000</v>
      </c>
      <c r="F9" s="22"/>
      <c r="G9" s="47">
        <v>46136</v>
      </c>
      <c r="H9" s="45">
        <v>126</v>
      </c>
      <c r="I9" s="48" t="str">
        <f t="shared" si="0"/>
        <v>69 days</v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>
        <v>46111</v>
      </c>
      <c r="D10" s="3" t="s">
        <v>61</v>
      </c>
      <c r="E10" s="9">
        <v>1030055</v>
      </c>
      <c r="F10" s="22" t="s">
        <v>274</v>
      </c>
      <c r="G10" s="47">
        <v>46137</v>
      </c>
      <c r="H10" s="45">
        <v>125</v>
      </c>
      <c r="I10" s="48" t="str">
        <f t="shared" si="0"/>
        <v>70 days</v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C11" s="7">
        <v>46127</v>
      </c>
      <c r="D11" s="3" t="s">
        <v>29</v>
      </c>
      <c r="E11" s="5">
        <v>29560</v>
      </c>
      <c r="F11" s="22"/>
      <c r="G11" s="47">
        <v>46138</v>
      </c>
      <c r="H11" s="45">
        <v>121</v>
      </c>
      <c r="I11" s="48" t="str">
        <f t="shared" si="0"/>
        <v>71 days</v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46127</v>
      </c>
      <c r="D12" s="3" t="s">
        <v>49</v>
      </c>
      <c r="E12" s="5">
        <v>100000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>
        <v>46138</v>
      </c>
      <c r="D13" s="3" t="s">
        <v>280</v>
      </c>
      <c r="E13" s="5">
        <v>20800</v>
      </c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>
        <v>46138</v>
      </c>
      <c r="D14" s="3" t="s">
        <v>281</v>
      </c>
      <c r="E14" s="9">
        <v>4000</v>
      </c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>
        <v>46138</v>
      </c>
      <c r="D15" s="3" t="s">
        <v>201</v>
      </c>
      <c r="E15" s="5">
        <v>45000</v>
      </c>
      <c r="F15" s="22"/>
      <c r="G15" s="16" t="s">
        <v>25</v>
      </c>
      <c r="H15" s="152">
        <v>46068</v>
      </c>
      <c r="I15" s="153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4" t="s">
        <v>279</v>
      </c>
      <c r="I16" s="155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46124</v>
      </c>
      <c r="H19" s="45">
        <v>135</v>
      </c>
      <c r="I19" s="48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46131</v>
      </c>
      <c r="H20" s="45">
        <v>97</v>
      </c>
      <c r="I20" s="48" t="str">
        <f t="shared" ref="I20:I25" si="1"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7">
        <v>46136</v>
      </c>
      <c r="H21" s="45">
        <v>85</v>
      </c>
      <c r="I21" s="48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46137</v>
      </c>
      <c r="H22" s="45">
        <v>76</v>
      </c>
      <c r="I22" s="48" t="str">
        <f t="shared" si="1"/>
        <v>70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>
        <v>46138</v>
      </c>
      <c r="H23" s="45">
        <v>90</v>
      </c>
      <c r="I23" s="48" t="str">
        <f t="shared" si="1"/>
        <v>71 days</v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f>H31+J31</f>
        <v>800000</v>
      </c>
      <c r="G31" s="92" t="s">
        <v>190</v>
      </c>
      <c r="H31" s="85">
        <v>700000</v>
      </c>
      <c r="I31" s="60" t="s">
        <v>191</v>
      </c>
      <c r="J31" s="85">
        <v>100000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59" t="s">
        <v>66</v>
      </c>
      <c r="K32" s="159"/>
      <c r="L32" s="160" t="s">
        <v>162</v>
      </c>
      <c r="M32" s="161"/>
      <c r="N32" s="15"/>
    </row>
    <row r="33" spans="2:14" x14ac:dyDescent="0.3">
      <c r="E33" s="15" t="s">
        <v>222</v>
      </c>
      <c r="F33" s="58">
        <f>H33*G33</f>
        <v>255712</v>
      </c>
      <c r="G33" s="58">
        <v>131</v>
      </c>
      <c r="H33" s="66">
        <v>1952</v>
      </c>
      <c r="I33" s="61">
        <v>234</v>
      </c>
      <c r="J33" s="145">
        <f>H33*I33</f>
        <v>456768</v>
      </c>
      <c r="K33" s="145"/>
      <c r="L33" s="84" t="s">
        <v>271</v>
      </c>
      <c r="M33" s="134">
        <v>134360</v>
      </c>
      <c r="N33" s="15"/>
    </row>
    <row r="34" spans="2:14" x14ac:dyDescent="0.3">
      <c r="E34" s="15" t="s">
        <v>117</v>
      </c>
      <c r="F34" s="58">
        <f t="shared" ref="F34:F39" si="2">H34*G34</f>
        <v>723967.2</v>
      </c>
      <c r="G34" s="58">
        <v>121</v>
      </c>
      <c r="H34" s="66">
        <v>5983.2</v>
      </c>
      <c r="I34" s="61">
        <v>254</v>
      </c>
      <c r="J34" s="145">
        <f t="shared" ref="J34:J39" si="3">H34*I34</f>
        <v>1519732.8</v>
      </c>
      <c r="K34" s="145"/>
      <c r="L34" s="84" t="s">
        <v>272</v>
      </c>
      <c r="M34" s="134">
        <v>200000</v>
      </c>
      <c r="N34" s="15"/>
    </row>
    <row r="35" spans="2:14" x14ac:dyDescent="0.3">
      <c r="C35" s="124"/>
      <c r="E35" s="15" t="s">
        <v>277</v>
      </c>
      <c r="F35" s="58">
        <f t="shared" si="2"/>
        <v>4500</v>
      </c>
      <c r="G35" s="58">
        <v>90</v>
      </c>
      <c r="H35" s="66">
        <v>50</v>
      </c>
      <c r="I35" s="61">
        <v>100</v>
      </c>
      <c r="J35" s="145">
        <f t="shared" si="3"/>
        <v>5000</v>
      </c>
      <c r="K35" s="145"/>
      <c r="L35" s="84" t="s">
        <v>282</v>
      </c>
      <c r="M35" s="134">
        <v>50000</v>
      </c>
      <c r="N35" s="15" t="s">
        <v>142</v>
      </c>
    </row>
    <row r="36" spans="2:14" x14ac:dyDescent="0.3">
      <c r="E36" s="15" t="s">
        <v>147</v>
      </c>
      <c r="F36" s="58">
        <f t="shared" si="2"/>
        <v>64350</v>
      </c>
      <c r="G36" s="58">
        <v>90</v>
      </c>
      <c r="H36" s="66">
        <v>715</v>
      </c>
      <c r="I36" s="61">
        <v>285</v>
      </c>
      <c r="J36" s="145">
        <f t="shared" si="3"/>
        <v>203775</v>
      </c>
      <c r="K36" s="145"/>
      <c r="L36" s="84" t="s">
        <v>61</v>
      </c>
      <c r="M36" s="134">
        <v>1030055</v>
      </c>
      <c r="N36" s="15"/>
    </row>
    <row r="37" spans="2:14" x14ac:dyDescent="0.3">
      <c r="E37" s="15" t="s">
        <v>278</v>
      </c>
      <c r="F37" s="58">
        <f t="shared" si="2"/>
        <v>3600</v>
      </c>
      <c r="G37" s="58">
        <v>90</v>
      </c>
      <c r="H37" s="66">
        <v>40</v>
      </c>
      <c r="I37" s="61">
        <v>100</v>
      </c>
      <c r="J37" s="145">
        <f t="shared" si="3"/>
        <v>4000</v>
      </c>
      <c r="K37" s="145"/>
      <c r="L37" s="84" t="s">
        <v>131</v>
      </c>
      <c r="M37" s="134">
        <v>200000</v>
      </c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45">
        <f t="shared" si="3"/>
        <v>0</v>
      </c>
      <c r="K38" s="145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45">
        <f t="shared" si="3"/>
        <v>0</v>
      </c>
      <c r="K39" s="145"/>
      <c r="L39" s="84"/>
      <c r="M39" s="134"/>
      <c r="N39" s="15"/>
    </row>
    <row r="40" spans="2:14" x14ac:dyDescent="0.3">
      <c r="E40" s="51" t="s">
        <v>62</v>
      </c>
      <c r="F40" s="59">
        <f>SUM(F33:F38)</f>
        <v>1052129.2</v>
      </c>
      <c r="G40" s="59"/>
      <c r="H40" s="83">
        <f>SUM(H33:H39)</f>
        <v>8740.2000000000007</v>
      </c>
      <c r="I40" s="51"/>
      <c r="J40" s="146">
        <f>SUM(J33:J39)</f>
        <v>2189275.7999999998</v>
      </c>
      <c r="K40" s="146"/>
      <c r="L40" s="51" t="s">
        <v>92</v>
      </c>
      <c r="M40" s="135">
        <f>SUM(M33:M39)</f>
        <v>1614415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131.52%</v>
      </c>
      <c r="G41" s="15"/>
      <c r="H41" s="57"/>
      <c r="I41" s="15"/>
      <c r="J41" s="147"/>
      <c r="K41" s="147"/>
      <c r="L41" s="82" t="s">
        <v>93</v>
      </c>
      <c r="M41" s="103">
        <f>J40-M40</f>
        <v>574860.79999999981</v>
      </c>
      <c r="N41" s="15"/>
    </row>
    <row r="42" spans="2:14" x14ac:dyDescent="0.3">
      <c r="D42" s="40"/>
      <c r="L42" s="67"/>
      <c r="M42" s="40"/>
    </row>
    <row r="43" spans="2:14" x14ac:dyDescent="0.3">
      <c r="B43" s="148" t="s">
        <v>204</v>
      </c>
      <c r="C43" s="148"/>
      <c r="D43" s="58">
        <v>450000</v>
      </c>
      <c r="E43" s="15">
        <v>126</v>
      </c>
      <c r="F43" s="129">
        <f>D43/E43</f>
        <v>3571.4285714285716</v>
      </c>
      <c r="G43" s="61">
        <v>250</v>
      </c>
      <c r="H43" s="99">
        <f>F43*G43</f>
        <v>892857.14285714284</v>
      </c>
      <c r="I43" s="15"/>
      <c r="J43" s="15"/>
      <c r="K43" s="5"/>
      <c r="L43" s="15"/>
      <c r="M43" s="15"/>
      <c r="N43" s="15"/>
    </row>
    <row r="44" spans="2:14" x14ac:dyDescent="0.3">
      <c r="B44" s="148" t="s">
        <v>204</v>
      </c>
      <c r="C44" s="148"/>
      <c r="D44" s="58">
        <v>100000</v>
      </c>
      <c r="E44" s="15">
        <v>76</v>
      </c>
      <c r="F44" s="129">
        <f>D44/E44</f>
        <v>1315.7894736842106</v>
      </c>
      <c r="G44" s="61">
        <v>300</v>
      </c>
      <c r="H44" s="99">
        <f>F44*G44</f>
        <v>394736.8421052632</v>
      </c>
      <c r="I44" s="15"/>
      <c r="J44" s="15"/>
      <c r="K44" s="5"/>
      <c r="L44" s="15"/>
      <c r="M44" s="15"/>
      <c r="N44" s="15"/>
    </row>
    <row r="45" spans="2:14" x14ac:dyDescent="0.3">
      <c r="H45" s="109">
        <f>H43+H44</f>
        <v>1287593.9849624061</v>
      </c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L5">
    <cfRule type="duplicateValues" dxfId="9" priority="1"/>
  </conditionalFormatting>
  <conditionalFormatting sqref="L6">
    <cfRule type="duplicateValues" dxfId="8" priority="2"/>
  </conditionalFormatting>
  <conditionalFormatting sqref="L7:L22">
    <cfRule type="duplicateValues" dxfId="7" priority="5"/>
  </conditionalFormatting>
  <conditionalFormatting sqref="M5:M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B1:N56"/>
  <sheetViews>
    <sheetView tabSelected="1" zoomScaleNormal="100" workbookViewId="0">
      <pane ySplit="1" topLeftCell="A29" activePane="bottomLeft" state="frozen"/>
      <selection pane="bottomLeft" activeCell="E48" sqref="E48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286</v>
      </c>
      <c r="C1" s="163"/>
      <c r="D1" s="163"/>
      <c r="E1" s="163"/>
      <c r="F1" s="164"/>
      <c r="G1" s="16" t="s">
        <v>25</v>
      </c>
      <c r="H1" s="152">
        <v>46154</v>
      </c>
      <c r="I1" s="153"/>
      <c r="J1" s="17" t="s">
        <v>15</v>
      </c>
      <c r="K1" s="165">
        <f>M2-E2</f>
        <v>-1319191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1319191</v>
      </c>
      <c r="F2" s="20"/>
      <c r="G2" s="32" t="s">
        <v>32</v>
      </c>
      <c r="H2" s="154" t="str">
        <f ca="1">IF(ISBLANK(H1),"",CONCATENATE(_xlfn.DAYS(TODAY(), H1-1)," days"))</f>
        <v>59 days</v>
      </c>
      <c r="I2" s="169"/>
      <c r="J2" s="38"/>
      <c r="K2" s="10"/>
      <c r="L2" s="11" t="s">
        <v>14</v>
      </c>
      <c r="M2" s="12">
        <f>SUM(M5:M22)</f>
        <v>0</v>
      </c>
      <c r="N2" s="20"/>
    </row>
    <row r="3" spans="2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46154</v>
      </c>
      <c r="D5" s="26" t="s">
        <v>19</v>
      </c>
      <c r="E5" s="9">
        <v>256000</v>
      </c>
      <c r="F5" s="23" t="s">
        <v>283</v>
      </c>
      <c r="G5" s="44">
        <v>46184</v>
      </c>
      <c r="H5" s="45">
        <v>350</v>
      </c>
      <c r="I5" s="48" t="str">
        <f>IF(ISBLANK(G5),"",CONCATENATE(G5-$H$1+1," days"))</f>
        <v>31 days</v>
      </c>
      <c r="J5" s="21">
        <v>1</v>
      </c>
      <c r="K5" s="44"/>
      <c r="L5" s="3"/>
      <c r="M5" s="5"/>
      <c r="N5" s="22"/>
    </row>
    <row r="6" spans="2:14" x14ac:dyDescent="0.3">
      <c r="B6" s="41">
        <v>2</v>
      </c>
      <c r="C6" s="7">
        <v>46154</v>
      </c>
      <c r="D6" s="3" t="s">
        <v>78</v>
      </c>
      <c r="E6" s="5">
        <v>15000</v>
      </c>
      <c r="F6" s="23" t="s">
        <v>284</v>
      </c>
      <c r="G6" s="44">
        <v>46207</v>
      </c>
      <c r="H6" s="45">
        <v>150</v>
      </c>
      <c r="I6" s="48" t="str">
        <f t="shared" ref="I6:I13" si="0">IF(ISBLANK(G6),"",CONCATENATE(G6-$H$1+1," days"))</f>
        <v>54 days</v>
      </c>
      <c r="J6" s="21">
        <v>2</v>
      </c>
      <c r="K6" s="4"/>
      <c r="L6" s="3"/>
      <c r="M6" s="5"/>
      <c r="N6" s="22"/>
    </row>
    <row r="7" spans="2:14" x14ac:dyDescent="0.3">
      <c r="B7" s="41">
        <v>3</v>
      </c>
      <c r="C7" s="7">
        <v>46152</v>
      </c>
      <c r="D7" s="3" t="s">
        <v>287</v>
      </c>
      <c r="E7" s="5">
        <v>10000</v>
      </c>
      <c r="F7" s="23" t="s">
        <v>288</v>
      </c>
      <c r="G7" s="44">
        <v>46212</v>
      </c>
      <c r="H7" s="45">
        <v>125</v>
      </c>
      <c r="I7" s="48" t="str">
        <f t="shared" si="0"/>
        <v>59 days</v>
      </c>
      <c r="J7" s="21">
        <v>3</v>
      </c>
      <c r="K7" s="4"/>
      <c r="L7" s="3"/>
      <c r="M7" s="5"/>
      <c r="N7" s="22"/>
    </row>
    <row r="8" spans="2:14" x14ac:dyDescent="0.3">
      <c r="B8" s="41">
        <v>4</v>
      </c>
      <c r="C8" s="7">
        <v>46161</v>
      </c>
      <c r="D8" s="3" t="s">
        <v>29</v>
      </c>
      <c r="E8" s="5">
        <v>14953</v>
      </c>
      <c r="F8" s="22"/>
      <c r="G8" s="44"/>
      <c r="H8" s="45"/>
      <c r="I8" s="48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>
        <v>46167</v>
      </c>
      <c r="D9" s="3" t="s">
        <v>289</v>
      </c>
      <c r="E9" s="9">
        <v>3000</v>
      </c>
      <c r="F9" s="22" t="s">
        <v>58</v>
      </c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>
        <v>46191</v>
      </c>
      <c r="D10" s="3" t="s">
        <v>61</v>
      </c>
      <c r="E10" s="9">
        <v>1000000</v>
      </c>
      <c r="F10" s="22" t="s">
        <v>294</v>
      </c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C11" s="130">
        <v>46181</v>
      </c>
      <c r="D11" s="3" t="s">
        <v>29</v>
      </c>
      <c r="E11" s="5">
        <v>12238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46190</v>
      </c>
      <c r="D12" s="3" t="s">
        <v>290</v>
      </c>
      <c r="E12" s="5">
        <v>8000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130"/>
      <c r="D14" s="3"/>
      <c r="E14" s="9"/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2">
        <v>46154</v>
      </c>
      <c r="I15" s="153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4" t="str">
        <f ca="1">IF(ISBLANK(H15),"",CONCATENATE(_xlfn.DAYS(TODAY(), H1-1)," days"))</f>
        <v>59 days</v>
      </c>
      <c r="I16" s="155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46184</v>
      </c>
      <c r="H19" s="45">
        <v>350</v>
      </c>
      <c r="I19" s="48" t="str">
        <f>IF(ISBLANK(G19),"",CONCATENATE(G19-$H$15+1," days"))</f>
        <v>31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/>
      <c r="H20" s="45"/>
      <c r="I20" s="48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7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f>H31+J31</f>
        <v>800000</v>
      </c>
      <c r="G31" s="92" t="s">
        <v>190</v>
      </c>
      <c r="H31" s="85">
        <v>700000</v>
      </c>
      <c r="I31" s="60" t="s">
        <v>191</v>
      </c>
      <c r="J31" s="85">
        <v>100000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59" t="s">
        <v>66</v>
      </c>
      <c r="K32" s="159"/>
      <c r="L32" s="160" t="s">
        <v>162</v>
      </c>
      <c r="M32" s="161"/>
      <c r="N32" s="15"/>
    </row>
    <row r="33" spans="2:14" x14ac:dyDescent="0.3">
      <c r="E33" s="15"/>
      <c r="F33" s="58">
        <f>H33*G33</f>
        <v>0</v>
      </c>
      <c r="G33" s="58"/>
      <c r="H33" s="66"/>
      <c r="I33" s="61"/>
      <c r="J33" s="145">
        <f>H33*I33</f>
        <v>0</v>
      </c>
      <c r="K33" s="145"/>
      <c r="L33" s="84"/>
      <c r="M33" s="134"/>
      <c r="N33" s="15"/>
    </row>
    <row r="34" spans="2:14" x14ac:dyDescent="0.3">
      <c r="E34" s="15"/>
      <c r="F34" s="58">
        <f t="shared" ref="F34:F39" si="2">H34*G34</f>
        <v>0</v>
      </c>
      <c r="G34" s="58"/>
      <c r="H34" s="66"/>
      <c r="I34" s="61"/>
      <c r="J34" s="145">
        <f t="shared" ref="J34:J39" si="3">H34*I34</f>
        <v>0</v>
      </c>
      <c r="K34" s="145"/>
      <c r="L34" s="84"/>
      <c r="M34" s="134"/>
      <c r="N34" s="15"/>
    </row>
    <row r="35" spans="2:14" x14ac:dyDescent="0.3">
      <c r="C35" s="124"/>
      <c r="E35" s="15"/>
      <c r="F35" s="58">
        <f t="shared" si="2"/>
        <v>0</v>
      </c>
      <c r="G35" s="58"/>
      <c r="H35" s="66"/>
      <c r="I35" s="61"/>
      <c r="J35" s="145">
        <f t="shared" si="3"/>
        <v>0</v>
      </c>
      <c r="K35" s="145"/>
      <c r="L35" s="84"/>
      <c r="M35" s="134"/>
      <c r="N35" s="15" t="s">
        <v>142</v>
      </c>
    </row>
    <row r="36" spans="2:14" x14ac:dyDescent="0.3">
      <c r="E36" s="15"/>
      <c r="F36" s="58">
        <f t="shared" si="2"/>
        <v>0</v>
      </c>
      <c r="G36" s="58"/>
      <c r="H36" s="66"/>
      <c r="I36" s="61"/>
      <c r="J36" s="145">
        <f t="shared" si="3"/>
        <v>0</v>
      </c>
      <c r="K36" s="145"/>
      <c r="L36" s="84"/>
      <c r="M36" s="134"/>
      <c r="N36" s="15"/>
    </row>
    <row r="37" spans="2:14" x14ac:dyDescent="0.3">
      <c r="E37" s="15"/>
      <c r="F37" s="58">
        <f t="shared" si="2"/>
        <v>0</v>
      </c>
      <c r="G37" s="58"/>
      <c r="H37" s="66"/>
      <c r="I37" s="61"/>
      <c r="J37" s="145">
        <f t="shared" si="3"/>
        <v>0</v>
      </c>
      <c r="K37" s="145"/>
      <c r="L37" s="84"/>
      <c r="M37" s="134"/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45">
        <f t="shared" si="3"/>
        <v>0</v>
      </c>
      <c r="K38" s="145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45">
        <f t="shared" si="3"/>
        <v>0</v>
      </c>
      <c r="K39" s="145"/>
      <c r="L39" s="84"/>
      <c r="M39" s="134"/>
      <c r="N39" s="15"/>
    </row>
    <row r="40" spans="2:14" x14ac:dyDescent="0.3">
      <c r="E40" s="51" t="s">
        <v>62</v>
      </c>
      <c r="F40" s="59">
        <f>SUM(F33:F38)</f>
        <v>0</v>
      </c>
      <c r="G40" s="59"/>
      <c r="H40" s="83">
        <f>SUM(H33:H39)</f>
        <v>0</v>
      </c>
      <c r="I40" s="51"/>
      <c r="J40" s="146">
        <f>SUM(J33:J39)</f>
        <v>0</v>
      </c>
      <c r="K40" s="146"/>
      <c r="L40" s="51" t="s">
        <v>92</v>
      </c>
      <c r="M40" s="135">
        <f>SUM(M33:M39)</f>
        <v>0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0%</v>
      </c>
      <c r="G41" s="15"/>
      <c r="H41" s="57"/>
      <c r="I41" s="15"/>
      <c r="J41" s="147"/>
      <c r="K41" s="147"/>
      <c r="L41" s="82" t="s">
        <v>93</v>
      </c>
      <c r="M41" s="103">
        <f>J40-M40</f>
        <v>0</v>
      </c>
      <c r="N41" s="15"/>
    </row>
    <row r="42" spans="2:14" x14ac:dyDescent="0.3">
      <c r="D42" s="40"/>
      <c r="L42" s="67"/>
      <c r="M42" s="40"/>
    </row>
    <row r="43" spans="2:14" x14ac:dyDescent="0.3">
      <c r="B43" s="148" t="s">
        <v>204</v>
      </c>
      <c r="C43" s="148"/>
      <c r="D43" s="58">
        <v>800000</v>
      </c>
      <c r="E43" s="15">
        <v>125</v>
      </c>
      <c r="F43" s="129">
        <f>D43/E43</f>
        <v>6400</v>
      </c>
      <c r="G43" s="61">
        <v>200</v>
      </c>
      <c r="H43" s="99">
        <f>F43*G43</f>
        <v>1280000</v>
      </c>
      <c r="I43" s="15"/>
      <c r="J43" s="15"/>
      <c r="K43" s="5"/>
      <c r="L43" s="15"/>
      <c r="M43" s="15"/>
      <c r="N43" s="15"/>
    </row>
    <row r="44" spans="2:14" x14ac:dyDescent="0.3">
      <c r="B44" s="148" t="s">
        <v>204</v>
      </c>
      <c r="C44" s="148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L5">
    <cfRule type="duplicateValues" dxfId="3" priority="1"/>
  </conditionalFormatting>
  <conditionalFormatting sqref="L6">
    <cfRule type="duplicateValues" dxfId="2" priority="2"/>
  </conditionalFormatting>
  <conditionalFormatting sqref="L7:L22">
    <cfRule type="duplicateValues" dxfId="1" priority="5"/>
  </conditionalFormatting>
  <conditionalFormatting sqref="M5:M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.5546875" style="86" customWidth="1"/>
    <col min="2" max="2" width="18.5546875" style="127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89" t="s">
        <v>0</v>
      </c>
      <c r="B1" s="125" t="s">
        <v>242</v>
      </c>
      <c r="C1" s="90" t="s">
        <v>100</v>
      </c>
      <c r="D1" s="94" t="s">
        <v>15</v>
      </c>
      <c r="E1" s="93" t="s">
        <v>37</v>
      </c>
      <c r="F1" s="91" t="s">
        <v>36</v>
      </c>
      <c r="G1" s="91" t="s">
        <v>26</v>
      </c>
      <c r="H1" s="139" t="s">
        <v>32</v>
      </c>
      <c r="I1" s="184" t="s">
        <v>122</v>
      </c>
      <c r="J1" s="184"/>
      <c r="K1" s="184"/>
      <c r="L1" s="184"/>
      <c r="M1" s="185"/>
      <c r="N1" s="181" t="str">
        <f ca="1">DATEDIF(T1,TODAY(),"y")&amp;" year, "&amp;DATEDIF(T1,TODAY(),"ym")&amp;" months, "&amp;TODAY()-DATE(YEAR(TODAY()),MONTH(TODAY()),1)&amp;" days"</f>
        <v>3 year, 3 months, 8 days</v>
      </c>
      <c r="O1" s="182"/>
      <c r="P1" s="182"/>
      <c r="Q1" s="182"/>
      <c r="R1" s="183"/>
      <c r="S1" s="8" t="s">
        <v>121</v>
      </c>
      <c r="T1" s="102">
        <v>45023</v>
      </c>
      <c r="U1" s="8"/>
      <c r="V1" s="8"/>
    </row>
    <row r="2" spans="1:22" x14ac:dyDescent="0.3">
      <c r="A2" s="87">
        <v>1</v>
      </c>
      <c r="B2" s="126" t="str">
        <f>'Term-1'!$B$1</f>
        <v>May2023 - Sept2023</v>
      </c>
      <c r="C2" s="8" t="s">
        <v>101</v>
      </c>
      <c r="D2" s="95">
        <f>IF(F2="","",E2-F2)</f>
        <v>-782674</v>
      </c>
      <c r="E2" s="88">
        <f>'Term-1'!$M$2</f>
        <v>1268250</v>
      </c>
      <c r="F2" s="88">
        <f>'Term-1'!$E$2</f>
        <v>2050924</v>
      </c>
      <c r="G2" s="140">
        <f>MIN('Term-1'!H5:H11)</f>
        <v>80</v>
      </c>
      <c r="H2" s="138" t="str" cm="1">
        <f t="array" ref="H2:I2">'Term-1'!H2:I2</f>
        <v>75 days</v>
      </c>
      <c r="I2">
        <v>0</v>
      </c>
    </row>
    <row r="3" spans="1:22" x14ac:dyDescent="0.3">
      <c r="A3" s="87">
        <v>2</v>
      </c>
      <c r="B3" s="126" t="str">
        <f>'Term-2'!$B$1</f>
        <v>Sept2023 - Nov2023</v>
      </c>
      <c r="C3" s="8" t="s">
        <v>102</v>
      </c>
      <c r="D3" s="95">
        <f t="shared" ref="D3:D7" si="0">IF(F3="","",E3-F3)</f>
        <v>-218110</v>
      </c>
      <c r="E3" s="88">
        <f>'Term-2'!$M$2</f>
        <v>300000</v>
      </c>
      <c r="F3" s="88">
        <f>'Term-2'!$E$2</f>
        <v>518110</v>
      </c>
      <c r="G3" s="140">
        <f>MIN('Term-2'!H5:H11)</f>
        <v>325</v>
      </c>
      <c r="H3" s="138" t="str" cm="1">
        <f t="array" ref="H3:I3">'Term-2'!H2:I2</f>
        <v>27 days</v>
      </c>
      <c r="I3">
        <v>0</v>
      </c>
    </row>
    <row r="4" spans="1:22" x14ac:dyDescent="0.3">
      <c r="A4" s="87">
        <v>3</v>
      </c>
      <c r="B4" s="126" t="str">
        <f>'Term-3'!$B$1</f>
        <v>Nov2023 - Jan2024</v>
      </c>
      <c r="C4" s="8" t="s">
        <v>103</v>
      </c>
      <c r="D4" s="95">
        <f t="shared" si="0"/>
        <v>-470000</v>
      </c>
      <c r="E4" s="88">
        <f>'Term-3'!$M$2</f>
        <v>120000</v>
      </c>
      <c r="F4" s="88">
        <f>'Term-3'!$E$2</f>
        <v>590000</v>
      </c>
      <c r="G4" s="140">
        <f>MIN('Term-3'!H5:H11)</f>
        <v>325</v>
      </c>
      <c r="H4" s="138" t="str" cm="1">
        <f t="array" ref="H4:I4">'Term-3'!H2:I2</f>
        <v>37 days</v>
      </c>
      <c r="I4">
        <v>0</v>
      </c>
    </row>
    <row r="5" spans="1:22" x14ac:dyDescent="0.3">
      <c r="A5" s="87">
        <v>4</v>
      </c>
      <c r="B5" s="126" t="str">
        <f>'Term-4'!$B$1</f>
        <v>Feb2024 - May2024</v>
      </c>
      <c r="C5" s="8" t="s">
        <v>104</v>
      </c>
      <c r="D5" s="95">
        <f t="shared" si="0"/>
        <v>1098545</v>
      </c>
      <c r="E5" s="88">
        <f>'Term-4'!$M$2</f>
        <v>2700044</v>
      </c>
      <c r="F5" s="88">
        <f>'Term-4'!$E$2</f>
        <v>1601499</v>
      </c>
      <c r="G5" s="140">
        <f>MIN('Term-4'!H5:H11)</f>
        <v>62</v>
      </c>
      <c r="H5" s="138" t="str" cm="1">
        <f t="array" ref="H5:I5">'Term-4'!H2:I2</f>
        <v>72 days</v>
      </c>
      <c r="I5">
        <v>0</v>
      </c>
    </row>
    <row r="6" spans="1:22" x14ac:dyDescent="0.3">
      <c r="A6" s="87">
        <v>5</v>
      </c>
      <c r="B6" s="126" t="str">
        <f>'Term-5'!$B$1</f>
        <v>July 2024 - Sept2024</v>
      </c>
      <c r="C6" s="8" t="s">
        <v>105</v>
      </c>
      <c r="D6" s="95">
        <f t="shared" si="0"/>
        <v>391120</v>
      </c>
      <c r="E6" s="88">
        <f>'Term-5'!$M$2</f>
        <v>1612322</v>
      </c>
      <c r="F6" s="88">
        <f>'Term-5'!$E$2</f>
        <v>1221202</v>
      </c>
      <c r="G6" s="140">
        <f>MIN('Term-5'!H5:H11)</f>
        <v>110</v>
      </c>
      <c r="H6" s="138" t="str" cm="1">
        <f t="array" ref="H6:I6">'Term-5'!H2:I2</f>
        <v>58 days</v>
      </c>
      <c r="I6">
        <v>0</v>
      </c>
    </row>
    <row r="7" spans="1:22" x14ac:dyDescent="0.3">
      <c r="A7" s="87">
        <v>6</v>
      </c>
      <c r="B7" s="126" t="str">
        <f>'Term-6'!$B$1</f>
        <v>Sep2024 - Nov2024</v>
      </c>
      <c r="C7" s="8" t="s">
        <v>106</v>
      </c>
      <c r="D7" s="95">
        <f t="shared" si="0"/>
        <v>1002304</v>
      </c>
      <c r="E7" s="88">
        <f>'Term-6'!$M$2</f>
        <v>2415103</v>
      </c>
      <c r="F7" s="88">
        <f>'Term-6'!$E$2</f>
        <v>1412799</v>
      </c>
      <c r="G7" s="140">
        <f>MIN('Term-6'!H5:H11)</f>
        <v>65</v>
      </c>
      <c r="H7" s="138" t="str" cm="1">
        <f t="array" ref="H7:I7">'Term-6'!H2:I2</f>
        <v>73 days</v>
      </c>
      <c r="I7">
        <v>0</v>
      </c>
    </row>
    <row r="8" spans="1:22" x14ac:dyDescent="0.3">
      <c r="A8" s="87">
        <v>7</v>
      </c>
      <c r="B8" s="126" t="str">
        <f>'Term-7'!$B$1</f>
        <v>Dec2024 - Feb2025</v>
      </c>
      <c r="C8" s="8" t="s">
        <v>119</v>
      </c>
      <c r="D8" s="95">
        <f t="shared" ref="D8:D10" si="1">IF(F8="","",E8-F8)</f>
        <v>528979</v>
      </c>
      <c r="E8" s="88">
        <f>'Term-7'!$M$2</f>
        <v>2031828</v>
      </c>
      <c r="F8" s="88">
        <f>'Term-7'!$E$2</f>
        <v>1502849</v>
      </c>
      <c r="G8" s="140">
        <f>MIN('Term-7'!H5:H11)</f>
        <v>97</v>
      </c>
      <c r="H8" s="138" t="str" cm="1">
        <f t="array" ref="H8:I8">'Term-7'!H2:I2</f>
        <v>79 days</v>
      </c>
      <c r="I8">
        <v>0</v>
      </c>
    </row>
    <row r="9" spans="1:22" x14ac:dyDescent="0.3">
      <c r="A9" s="87">
        <v>8</v>
      </c>
      <c r="B9" s="126" t="str">
        <f>'Term-8'!$B$1</f>
        <v>Feb2025 - May2025</v>
      </c>
      <c r="C9" s="8" t="s">
        <v>159</v>
      </c>
      <c r="D9" s="95">
        <f t="shared" si="1"/>
        <v>405496</v>
      </c>
      <c r="E9" s="88">
        <f>'Term-8'!$M$2</f>
        <v>1791690</v>
      </c>
      <c r="F9" s="88">
        <f>'Term-8'!$E$2</f>
        <v>1386194</v>
      </c>
      <c r="G9" s="140">
        <f>MIN('Term-8'!H5:H11)</f>
        <v>67</v>
      </c>
      <c r="H9" s="138" t="str" cm="1">
        <f t="array" ref="H9:I9">'Term-8'!H2:I2</f>
        <v>78 days</v>
      </c>
      <c r="I9">
        <v>0</v>
      </c>
    </row>
    <row r="10" spans="1:22" x14ac:dyDescent="0.3">
      <c r="A10" s="87">
        <v>9</v>
      </c>
      <c r="B10" s="126" t="str">
        <f>'Term-9'!$B$1</f>
        <v>July2025 - Sept2025</v>
      </c>
      <c r="C10" s="8" t="s">
        <v>174</v>
      </c>
      <c r="D10" s="95">
        <f t="shared" si="1"/>
        <v>1125929.5</v>
      </c>
      <c r="E10" s="88">
        <f>'Term-9'!$M$2</f>
        <v>2535929.5</v>
      </c>
      <c r="F10" s="88">
        <f>'Term-9'!$E$2</f>
        <v>1410000</v>
      </c>
      <c r="G10" s="140">
        <f>MIN('Term-9'!H5:H13)</f>
        <v>78</v>
      </c>
      <c r="H10" s="138" t="str" cm="1">
        <f t="array" ref="H10:I10">'Term-9'!H2:I2</f>
        <v>62 days</v>
      </c>
      <c r="I10">
        <v>0</v>
      </c>
    </row>
    <row r="11" spans="1:22" x14ac:dyDescent="0.3">
      <c r="A11" s="87">
        <v>10</v>
      </c>
      <c r="B11" s="126" t="str">
        <f>'Term-10'!$B$1</f>
        <v>Sept2025 - Dec2025</v>
      </c>
      <c r="C11" s="8" t="s">
        <v>205</v>
      </c>
      <c r="D11" s="95">
        <f t="shared" ref="D11" si="2">IF(F11="","",E11-F11)</f>
        <v>979350</v>
      </c>
      <c r="E11" s="88">
        <f>'Term-10'!$M$2</f>
        <v>2530350</v>
      </c>
      <c r="F11" s="88">
        <f>'Term-10'!$E$2</f>
        <v>1551000</v>
      </c>
      <c r="G11" s="140">
        <f>MIN('Term-10'!H5:H13)</f>
        <v>58</v>
      </c>
      <c r="H11" s="138" t="str" cm="1">
        <f t="array" ref="H11:I11">'Term-10'!H2:I2</f>
        <v>78 days</v>
      </c>
      <c r="I11">
        <v>0</v>
      </c>
    </row>
    <row r="12" spans="1:22" x14ac:dyDescent="0.3">
      <c r="A12" s="87">
        <v>11</v>
      </c>
      <c r="B12" s="126" t="str">
        <f>'Term-11'!$B$1</f>
        <v>Dec2025 - Jan2026</v>
      </c>
      <c r="C12" s="8" t="s">
        <v>230</v>
      </c>
      <c r="D12" s="95">
        <f t="shared" ref="D12" si="3">IF(F12="","",E12-F12)</f>
        <v>-469722.5</v>
      </c>
      <c r="E12" s="88">
        <f>'Term-11'!$M$2</f>
        <v>115277.5</v>
      </c>
      <c r="F12" s="88">
        <f>'Term-11'!$E$2</f>
        <v>585000</v>
      </c>
      <c r="G12" s="140">
        <f>MIN('Term-11'!H5:H13)</f>
        <v>518</v>
      </c>
      <c r="H12" s="138" t="str" cm="1">
        <f t="array" ref="H12:I12">'Term-11'!H2:I2</f>
        <v>34 days</v>
      </c>
      <c r="I12">
        <v>0</v>
      </c>
    </row>
    <row r="13" spans="1:22" x14ac:dyDescent="0.3">
      <c r="A13" s="87">
        <v>12</v>
      </c>
      <c r="B13" s="126" t="str">
        <f>'Term-12'!$B$1</f>
        <v>Feb2026 - Apr2026</v>
      </c>
      <c r="C13" s="8" t="s">
        <v>256</v>
      </c>
      <c r="D13" s="95">
        <f t="shared" ref="D13" si="4">IF(F13="","",E13-F13)</f>
        <v>610376</v>
      </c>
      <c r="E13" s="88">
        <f>'Term-12'!$M$2</f>
        <v>2189276</v>
      </c>
      <c r="F13" s="88">
        <f>'Term-12'!$E$2</f>
        <v>1578900</v>
      </c>
      <c r="G13" s="140">
        <f>MIN('Term-12'!H6:H14)</f>
        <v>121</v>
      </c>
      <c r="H13" s="138" t="str" cm="1">
        <f t="array" ref="H13:I13">'Term-12'!H2:I2</f>
        <v>71 days</v>
      </c>
      <c r="I13">
        <v>0</v>
      </c>
    </row>
    <row r="14" spans="1:22" x14ac:dyDescent="0.3">
      <c r="A14" s="87">
        <v>13</v>
      </c>
      <c r="B14" s="126" t="str">
        <f>'Term-13'!$B$1</f>
        <v>May2026 - July2026</v>
      </c>
      <c r="C14" s="8" t="s">
        <v>285</v>
      </c>
      <c r="D14" s="95">
        <f t="shared" ref="D14" si="5">IF(F14="","",E14-F14)</f>
        <v>-1319191</v>
      </c>
      <c r="E14" s="88">
        <f>'Term-13'!$M$2</f>
        <v>0</v>
      </c>
      <c r="F14" s="88">
        <f>'Term-13'!$E$2</f>
        <v>1319191</v>
      </c>
      <c r="G14" s="140">
        <f>MIN('Term-13'!H6:H14)</f>
        <v>125</v>
      </c>
      <c r="H14" s="138" cm="1">
        <f t="array" ref="H14:I14">'Term-13'!H3:I3</f>
        <v>0</v>
      </c>
      <c r="I14">
        <v>0</v>
      </c>
    </row>
    <row r="15" spans="1:22" x14ac:dyDescent="0.3">
      <c r="A15" s="87">
        <v>14</v>
      </c>
      <c r="B15" s="126"/>
      <c r="C15" s="8"/>
      <c r="D15" s="95"/>
      <c r="E15" s="88"/>
      <c r="F15" s="88"/>
      <c r="G15" s="140"/>
      <c r="H15" s="138"/>
    </row>
    <row r="16" spans="1:22" x14ac:dyDescent="0.3">
      <c r="A16" s="87">
        <v>15</v>
      </c>
      <c r="B16" s="126"/>
      <c r="C16" s="8"/>
      <c r="D16" s="95"/>
      <c r="E16" s="88"/>
      <c r="F16" s="88"/>
      <c r="G16" s="140"/>
      <c r="H16" s="138"/>
    </row>
    <row r="17" spans="1:8" x14ac:dyDescent="0.3">
      <c r="A17" s="87">
        <v>16</v>
      </c>
      <c r="B17" s="126"/>
      <c r="C17" s="8"/>
      <c r="D17" s="95"/>
      <c r="E17" s="88"/>
      <c r="F17" s="88"/>
      <c r="G17" s="140"/>
      <c r="H17" s="138"/>
    </row>
    <row r="18" spans="1:8" x14ac:dyDescent="0.3">
      <c r="A18" s="87">
        <v>17</v>
      </c>
      <c r="B18" s="126"/>
      <c r="C18" s="8"/>
      <c r="D18" s="95"/>
      <c r="E18" s="88"/>
      <c r="F18" s="106"/>
      <c r="G18" s="140"/>
      <c r="H18" s="87"/>
    </row>
    <row r="19" spans="1:8" x14ac:dyDescent="0.3">
      <c r="A19" s="87">
        <v>18</v>
      </c>
      <c r="B19" s="126"/>
      <c r="C19" s="8"/>
      <c r="D19" s="95"/>
      <c r="E19" s="88"/>
      <c r="F19" s="88"/>
      <c r="G19" s="140"/>
      <c r="H19" s="138"/>
    </row>
    <row r="20" spans="1:8" x14ac:dyDescent="0.3">
      <c r="A20" s="87">
        <v>19</v>
      </c>
      <c r="B20" s="126"/>
      <c r="C20" s="8"/>
      <c r="D20" s="95"/>
      <c r="E20" s="88"/>
      <c r="F20" s="88"/>
      <c r="G20" s="140"/>
      <c r="H20" s="138"/>
    </row>
    <row r="21" spans="1:8" x14ac:dyDescent="0.3">
      <c r="A21" s="87">
        <v>20</v>
      </c>
      <c r="B21" s="126"/>
      <c r="C21" s="8"/>
      <c r="D21" s="95"/>
      <c r="E21" s="88"/>
      <c r="F21" s="88"/>
      <c r="G21" s="140"/>
      <c r="H21" s="138"/>
    </row>
    <row r="22" spans="1:8" x14ac:dyDescent="0.3">
      <c r="A22" s="87">
        <v>21</v>
      </c>
      <c r="B22" s="126"/>
      <c r="C22" s="8"/>
      <c r="D22" s="95"/>
      <c r="E22" s="88"/>
      <c r="F22" s="88"/>
      <c r="G22" s="140"/>
      <c r="H22" s="138"/>
    </row>
    <row r="23" spans="1:8" x14ac:dyDescent="0.3">
      <c r="A23" s="87">
        <v>22</v>
      </c>
      <c r="B23" s="126"/>
      <c r="C23" s="8"/>
      <c r="D23" s="95"/>
      <c r="E23" s="88"/>
      <c r="F23" s="88"/>
      <c r="G23" s="140"/>
      <c r="H23" s="138"/>
    </row>
    <row r="24" spans="1:8" x14ac:dyDescent="0.3">
      <c r="A24" s="87">
        <v>23</v>
      </c>
      <c r="B24" s="126"/>
      <c r="C24" s="8"/>
      <c r="D24" s="95"/>
      <c r="E24" s="88"/>
      <c r="F24" s="88"/>
      <c r="G24" s="140"/>
      <c r="H24" s="138"/>
    </row>
    <row r="25" spans="1:8" x14ac:dyDescent="0.3">
      <c r="A25" s="178" t="s">
        <v>107</v>
      </c>
      <c r="B25" s="179"/>
      <c r="C25" s="180"/>
      <c r="D25" s="9">
        <f>SUM(D2:D24)</f>
        <v>2882402</v>
      </c>
      <c r="E25" s="88">
        <f>SUM(E2:E24)</f>
        <v>19610070</v>
      </c>
      <c r="F25" s="88">
        <f>SUM(F2:F24)</f>
        <v>16727668</v>
      </c>
      <c r="G25" s="140"/>
      <c r="H25" s="88"/>
    </row>
    <row r="27" spans="1:8" x14ac:dyDescent="0.3">
      <c r="B27" s="136" t="s">
        <v>239</v>
      </c>
    </row>
    <row r="28" spans="1:8" x14ac:dyDescent="0.3">
      <c r="A28" s="89" t="s">
        <v>0</v>
      </c>
      <c r="B28" s="90" t="s">
        <v>240</v>
      </c>
      <c r="C28" s="94" t="s">
        <v>241</v>
      </c>
      <c r="D28" s="93" t="s">
        <v>15</v>
      </c>
    </row>
    <row r="29" spans="1:8" x14ac:dyDescent="0.3">
      <c r="A29" s="87">
        <v>1</v>
      </c>
      <c r="B29" s="126">
        <v>2023</v>
      </c>
      <c r="C29" s="106">
        <f>COUNTIF(C2:C4, "*")</f>
        <v>3</v>
      </c>
      <c r="D29" s="88">
        <f>SUM(D2:D4)</f>
        <v>-1470784</v>
      </c>
    </row>
    <row r="30" spans="1:8" x14ac:dyDescent="0.3">
      <c r="A30" s="87">
        <v>2</v>
      </c>
      <c r="B30" s="126">
        <v>2024</v>
      </c>
      <c r="C30" s="106">
        <f>COUNTIF(C5:C7, "*")</f>
        <v>3</v>
      </c>
      <c r="D30" s="88">
        <f>SUM(D5:D7)</f>
        <v>2491969</v>
      </c>
    </row>
    <row r="31" spans="1:8" x14ac:dyDescent="0.3">
      <c r="A31" s="87">
        <v>3</v>
      </c>
      <c r="B31" s="126">
        <v>2025</v>
      </c>
      <c r="C31" s="106">
        <f>COUNTIF(C8:C12, "*")</f>
        <v>5</v>
      </c>
      <c r="D31" s="88">
        <f>SUM(D8:D11)</f>
        <v>3039754.5</v>
      </c>
    </row>
    <row r="32" spans="1:8" x14ac:dyDescent="0.3">
      <c r="A32" s="87">
        <v>4</v>
      </c>
      <c r="B32" s="126">
        <v>2026</v>
      </c>
      <c r="C32" s="106">
        <f>COUNTIF(C13:C16, "*")</f>
        <v>2</v>
      </c>
      <c r="D32" s="88">
        <f>SUM(D12:D15)</f>
        <v>-1178537.5</v>
      </c>
    </row>
    <row r="33" spans="1:4" x14ac:dyDescent="0.3">
      <c r="A33" s="87">
        <v>5</v>
      </c>
      <c r="B33" s="126">
        <v>2027</v>
      </c>
      <c r="C33" s="106"/>
      <c r="D33" s="106"/>
    </row>
    <row r="34" spans="1:4" x14ac:dyDescent="0.3">
      <c r="A34" s="87">
        <v>6</v>
      </c>
      <c r="B34" s="126">
        <v>2028</v>
      </c>
      <c r="C34" s="106"/>
      <c r="D34" s="106"/>
    </row>
    <row r="35" spans="1:4" x14ac:dyDescent="0.3">
      <c r="A35" s="137"/>
      <c r="B35" s="8" t="s">
        <v>62</v>
      </c>
      <c r="C35" s="8">
        <f>SUM(C29:C34)</f>
        <v>13</v>
      </c>
      <c r="D35" s="9">
        <f>SUM(D29:D34)</f>
        <v>2882402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6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4" t="s">
        <v>0</v>
      </c>
      <c r="B1" s="105" t="s">
        <v>127</v>
      </c>
      <c r="C1" s="105" t="s">
        <v>128</v>
      </c>
      <c r="D1" s="105" t="s">
        <v>129</v>
      </c>
    </row>
    <row r="2" spans="1:14" x14ac:dyDescent="0.3">
      <c r="A2" s="87">
        <v>1</v>
      </c>
      <c r="B2" s="106" t="s">
        <v>125</v>
      </c>
      <c r="C2" s="106" t="s">
        <v>124</v>
      </c>
      <c r="D2" s="106" t="s">
        <v>126</v>
      </c>
    </row>
    <row r="3" spans="1:14" x14ac:dyDescent="0.3">
      <c r="A3" s="87"/>
      <c r="B3" s="106" t="s">
        <v>214</v>
      </c>
      <c r="C3" s="106" t="s">
        <v>215</v>
      </c>
      <c r="D3" s="106" t="s">
        <v>219</v>
      </c>
      <c r="E3" s="132" t="s">
        <v>218</v>
      </c>
      <c r="G3" s="115"/>
      <c r="H3" s="115"/>
      <c r="I3" s="115"/>
      <c r="J3" s="115"/>
    </row>
    <row r="4" spans="1:14" x14ac:dyDescent="0.3">
      <c r="A4" s="87"/>
      <c r="B4" s="106" t="s">
        <v>216</v>
      </c>
      <c r="C4" s="106"/>
      <c r="D4" s="106" t="s">
        <v>217</v>
      </c>
      <c r="G4" s="115"/>
      <c r="H4" s="115"/>
      <c r="I4" s="115"/>
      <c r="J4" s="115"/>
    </row>
    <row r="5" spans="1:14" x14ac:dyDescent="0.3">
      <c r="A5" s="87"/>
      <c r="B5" s="106" t="s">
        <v>220</v>
      </c>
      <c r="C5" s="106"/>
      <c r="D5" s="106" t="s">
        <v>221</v>
      </c>
      <c r="G5" s="115"/>
      <c r="H5" s="115"/>
      <c r="I5" s="115"/>
      <c r="J5" s="115"/>
    </row>
    <row r="6" spans="1:14" x14ac:dyDescent="0.3">
      <c r="A6" s="87"/>
      <c r="B6" s="106"/>
      <c r="C6" s="106"/>
      <c r="D6" s="106"/>
      <c r="G6" s="115"/>
      <c r="H6" s="115"/>
      <c r="I6" s="115"/>
      <c r="J6" s="115"/>
      <c r="L6" s="115"/>
    </row>
    <row r="7" spans="1:14" x14ac:dyDescent="0.3">
      <c r="A7" s="87"/>
      <c r="B7" s="106"/>
      <c r="C7" s="106"/>
      <c r="D7" s="106"/>
      <c r="G7" s="115"/>
      <c r="H7" s="115"/>
      <c r="I7" s="115"/>
      <c r="J7" s="115"/>
      <c r="L7" s="115"/>
    </row>
    <row r="8" spans="1:14" x14ac:dyDescent="0.3">
      <c r="A8" s="87"/>
      <c r="B8" s="106"/>
      <c r="C8" s="106"/>
      <c r="D8" s="106"/>
      <c r="G8" s="115"/>
      <c r="H8" s="115"/>
      <c r="I8" s="115"/>
      <c r="J8" s="115"/>
    </row>
    <row r="9" spans="1:14" x14ac:dyDescent="0.3">
      <c r="A9" s="87"/>
      <c r="B9" s="106"/>
      <c r="C9" s="106"/>
      <c r="D9" s="106"/>
      <c r="G9" s="116"/>
      <c r="H9" s="116"/>
      <c r="I9" s="116"/>
      <c r="J9" s="116"/>
      <c r="K9" s="116"/>
      <c r="L9" s="116"/>
    </row>
    <row r="10" spans="1:14" x14ac:dyDescent="0.3">
      <c r="A10" s="87"/>
      <c r="B10" s="106"/>
      <c r="C10" s="106"/>
      <c r="D10" s="106"/>
      <c r="H10" s="115"/>
    </row>
    <row r="11" spans="1:14" x14ac:dyDescent="0.3">
      <c r="A11" s="87"/>
      <c r="B11" s="106"/>
      <c r="C11" s="106"/>
      <c r="D11" s="106"/>
      <c r="H11" s="115"/>
    </row>
    <row r="12" spans="1:14" x14ac:dyDescent="0.3">
      <c r="A12" s="87"/>
      <c r="B12" s="106"/>
      <c r="C12" s="106"/>
      <c r="D12" s="106"/>
    </row>
    <row r="13" spans="1:14" x14ac:dyDescent="0.3">
      <c r="A13" s="87"/>
      <c r="B13" s="106"/>
      <c r="C13" s="106"/>
      <c r="D13" s="106"/>
    </row>
    <row r="14" spans="1:14" x14ac:dyDescent="0.3">
      <c r="A14" s="87"/>
      <c r="B14" s="106"/>
      <c r="C14" s="106"/>
      <c r="D14" s="106"/>
    </row>
    <row r="15" spans="1:14" x14ac:dyDescent="0.3">
      <c r="A15" s="87"/>
      <c r="B15" s="106"/>
      <c r="C15" s="106"/>
      <c r="D15" s="106"/>
      <c r="N15" s="114"/>
    </row>
    <row r="16" spans="1:14" x14ac:dyDescent="0.3">
      <c r="A16" s="87"/>
      <c r="B16" s="106"/>
      <c r="C16" s="106"/>
      <c r="D16" s="106"/>
      <c r="F16" s="116"/>
    </row>
    <row r="17" spans="1:6" x14ac:dyDescent="0.3">
      <c r="A17" s="87"/>
      <c r="B17" s="106"/>
      <c r="C17" s="106"/>
      <c r="D17" s="106"/>
      <c r="F17" s="115"/>
    </row>
    <row r="18" spans="1:6" x14ac:dyDescent="0.3">
      <c r="A18" s="87"/>
      <c r="B18" s="106"/>
      <c r="C18" s="106"/>
      <c r="D18" s="106"/>
    </row>
    <row r="19" spans="1:6" x14ac:dyDescent="0.3">
      <c r="A19" s="87"/>
      <c r="B19" s="106"/>
      <c r="C19" s="106"/>
      <c r="D19" s="106"/>
      <c r="F19" s="116"/>
    </row>
    <row r="20" spans="1:6" x14ac:dyDescent="0.3">
      <c r="A20" s="87"/>
      <c r="B20" s="106"/>
      <c r="C20" s="106"/>
      <c r="D20" s="106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2026-07-09T13:04:00Z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