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1853EB19-38B5-4A86-8E57-42B5BA6BA12C}" xr6:coauthVersionLast="47" xr6:coauthVersionMax="47" xr10:uidLastSave="{00000000-0000-0000-0000-000000000000}"/>
  <bookViews>
    <workbookView xWindow="-108" yWindow="-108" windowWidth="23256" windowHeight="12456" tabRatio="706" firstSheet="8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List" sheetId="12" r:id="rId15"/>
    <sheet name="Summary Graph" sheetId="22" r:id="rId16"/>
    <sheet name="Notes" sheetId="14" r:id="rId17"/>
  </sheets>
  <definedNames>
    <definedName name="_xlnm._FilterDatabase" localSheetId="14" hidden="1">List!$B$1:$L$1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7" l="1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5" i="12"/>
  <c r="L13" i="12"/>
  <c r="L12" i="12"/>
  <c r="L11" i="12"/>
  <c r="L10" i="12"/>
  <c r="L9" i="12"/>
  <c r="L8" i="12"/>
  <c r="L6" i="12"/>
  <c r="K15" i="12"/>
  <c r="K13" i="12"/>
  <c r="K12" i="12"/>
  <c r="K11" i="12"/>
  <c r="K10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H16" i="21"/>
  <c r="H2" i="21"/>
  <c r="H15" i="12" s="1" a="1"/>
  <c r="H15" i="12" s="1"/>
  <c r="E15" i="12"/>
  <c r="F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F40" i="6" l="1"/>
  <c r="J40" i="6"/>
  <c r="M42" i="6" s="1"/>
  <c r="D15" i="12"/>
  <c r="D9" i="12"/>
  <c r="K4" i="12"/>
  <c r="J40" i="9"/>
  <c r="M42" i="9" s="1"/>
  <c r="F40" i="4"/>
  <c r="J40" i="4"/>
  <c r="M42" i="4" s="1"/>
  <c r="C35" i="12"/>
  <c r="F41" i="2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D43" i="20" l="1"/>
  <c r="K14" i="12"/>
  <c r="F41" i="6"/>
  <c r="L3" i="12" s="1"/>
  <c r="K3" i="12"/>
  <c r="F41" i="4"/>
  <c r="K2" i="12"/>
  <c r="F41" i="15"/>
  <c r="K9" i="12"/>
  <c r="F41" i="20"/>
  <c r="L14" i="12" s="1"/>
  <c r="F43" i="20"/>
  <c r="H43" i="20" s="1"/>
  <c r="H45" i="20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<sst xmlns="http://schemas.openxmlformats.org/spreadsheetml/2006/main" count="987" uniqueCount="306">
  <si>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</si>
  <si>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</si>
  <si>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</si>
  <si>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</si>
  <si>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</si>
  <si>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</si>
  <si>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</si>
  <si>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</si>
  <si>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</si>
  <si>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</si>
  <si>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</si>
  <si>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</si>
  <si>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</si>
  <si>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</si>
  <si>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</si>
  <si>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</si>
  <si>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</si>
  <si>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</si>
  <si>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</si>
  <si>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</si>
  <si>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</si>
  <si>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</si>
  <si>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</si>
  <si>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</si>
  <si>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</si>
  <si>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</si>
  <si>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</si>
  <si>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</si>
  <si>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</si>
  <si>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</si>
  <si>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</si>
  <si>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</si>
  <si>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</si>
  <si>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</si>
  <si>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</si>
  <si>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</si>
  <si>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</si>
  <si>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</si>
  <si>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</si>
  <si>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</si>
  <si>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</si>
  <si>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</si>
  <si>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</si>
  <si>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</si>
  <si>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</si>
  <si>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</si>
  <si>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</si>
  <si>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</si>
  <si>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</si>
  <si>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</si>
  <si>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</si>
  <si>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</si>
  <si>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</si>
  <si>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</si>
  <si>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</si>
  <si>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</si>
  <si>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</si>
  <si>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</si>
  <si>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</si>
  <si>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</si>
  <si>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</si>
  <si>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</si>
  <si>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</si>
  <si>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</si>
  <si>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</si>
  <si>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</si>
  <si>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</si>
  <si>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</si>
  <si>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</si>
  <si>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</si>
  <si>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</si>
  <si>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</si>
  <si>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</si>
  <si>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</si>
  <si>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</si>
  <si>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</si>
  <si>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</si>
  <si>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</si>
  <si>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</si>
  <si>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</si>
  <si>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</si>
  <si>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</si>
  <si>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</si>
  <si>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</si>
  <si>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</si>
  <si>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</si>
  <si>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</si>
  <si>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</si>
  <si>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</si>
  <si>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</si>
  <si>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</si>
  <si>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</si>
  <si>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</si>
  <si>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</si>
  <si>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</si>
  <si>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</si>
  <si>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</si>
  <si>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</si>
  <si>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</si>
  <si>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</si>
  <si>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</si>
  <si>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</si>
  <si>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</si>
  <si>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</si>
  <si>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</si>
  <si>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</si>
  <si>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</si>
  <si>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</si>
  <si>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</si>
  <si>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</si>
  <si>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</si>
  <si>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</si>
  <si>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</si>
  <si>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</si>
  <si>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</si>
  <si>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</si>
  <si>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</si>
  <si>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</si>
  <si>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</si>
  <si>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</si>
  <si>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</si>
  <si>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</si>
  <si>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</si>
  <si>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</si>
  <si>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</si>
  <si>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</si>
  <si>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</si>
  <si>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</si>
  <si>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</si>
  <si>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</si>
  <si>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</si>
  <si>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</si>
  <si>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</si>
  <si>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</si>
  <si>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</si>
  <si>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</si>
  <si>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</si>
  <si>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</si>
  <si>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</si>
  <si>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</si>
  <si>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</si>
  <si>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</si>
  <si>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</si>
  <si>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</si>
  <si>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</si>
  <si>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</si>
  <si>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</si>
  <si>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</si>
  <si>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</si>
  <si>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</si>
  <si>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</si>
  <si>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</si>
  <si>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</si>
  <si>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</si>
  <si>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</si>
  <si>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</si>
  <si>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</si>
  <si>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</si>
  <si>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</si>
  <si>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</si>
  <si>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</si>
  <si>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</si>
  <si>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</si>
  <si>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</si>
  <si>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</si>
  <si>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</si>
  <si>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</si>
  <si>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</si>
  <si>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</si>
  <si>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</si>
  <si>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</si>
  <si>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</si>
  <si>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</si>
  <si>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</si>
  <si>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</si>
  <si>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</si>
  <si>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</si>
  <si>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</si>
  <si>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</si>
  <si>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</si>
  <si>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</si>
  <si>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</si>
  <si>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</si>
  <si>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</si>
  <si>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</si>
  <si>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</si>
  <si>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</si>
  <si>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</si>
  <si>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</si>
  <si>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</si>
  <si>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</si>
  <si>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</si>
  <si>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</si>
  <si>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</si>
  <si>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</si>
  <si>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</si>
  <si>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</si>
  <si>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</si>
  <si>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</si>
  <si>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</si>
  <si>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</si>
  <si>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</si>
  <si>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</si>
  <si>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</si>
  <si>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</si>
  <si>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</si>
  <si>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</si>
  <si>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</si>
  <si>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</si>
  <si>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</si>
  <si>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</si>
  <si>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</si>
  <si>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</si>
  <si>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</si>
  <si>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</si>
  <si>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</si>
  <si>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</si>
  <si>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</si>
  <si>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</si>
  <si>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</si>
  <si>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</si>
  <si>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</si>
  <si>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</si>
  <si>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</si>
  <si>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</si>
  <si>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</si>
  <si>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</si>
  <si>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</si>
  <si>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</si>
  <si>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</si>
  <si>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</si>
  <si>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</si>
  <si>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</si>
  <si>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</si>
  <si>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</si>
  <si>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</si>
  <si>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</si>
  <si>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</si>
  <si>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</si>
  <si>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</si>
  <si>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</si>
  <si>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</si>
  <si>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</si>
  <si>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</si>
  <si>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</si>
  <si>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</si>
  <si>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</si>
  <si>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</si>
  <si>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</si>
  <si>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</si>
  <si>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</si>
  <si>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</si>
  <si>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</si>
  <si>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</si>
  <si>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</si>
  <si>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</si>
  <si>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</si>
  <si>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</si>
  <si>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</si>
  <si>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</si>
  <si>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</si>
  <si>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</si>
  <si>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</si>
  <si>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</si>
  <si>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</si>
  <si>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</si>
  <si>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</si>
  <si>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</si>
  <si>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</si>
  <si>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</si>
  <si>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</si>
  <si>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</si>
  <si>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</si>
  <si>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</si>
  <si>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</si>
  <si>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</si>
  <si>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</si>
  <si>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</si>
  <si>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</si>
  <si>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</si>
  <si>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</si>
  <si>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</si>
  <si>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</si>
  <si>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</si>
  <si>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</si>
  <si>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</si>
  <si>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</si>
  <si>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</si>
  <si>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</si>
  <si>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</si>
  <si>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</si>
  <si>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Aug2026 - Oct2026</t>
  </si>
  <si>
    <t>Term-14</t>
  </si>
  <si>
    <t>So far 10 tons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</si>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</sst>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6" borderId="1" xfId="0" applyFont="1" applyFill="1" applyBorder="1" applyAlignment="1" applyProtection="1"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2" fillId="0" borderId="0" xfId="0" applyFon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ont="1" applyFill="1" applyBorder="1"/>
    <xf numFmtId="168" fontId="2" fillId="7" borderId="39" xfId="0" applyNumberFormat="1" applyFont="1" applyFill="1" applyBorder="1" applyAlignment="1"/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List!$D$1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List!$C$2:$C$15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List!$D$2:$D$15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47972.399999999907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List!$D$25</c:f>
              <c:numCache>
                <c:formatCode>"₹"\ #,##0</c:formatCode>
                <c:ptCount val="1"/>
                <c:pt idx="0">
                  <c:v>4241715.4000000004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List!$B$28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List!$B$29:$B$32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List!$D$28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188625.89999999991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177</v>
      </c>
      <c r="C1" s="157"/>
      <c r="D1" s="157"/>
      <c r="E1" s="157"/>
      <c r="F1" s="158"/>
      <c r="G1" s="16" t="s">
        <v>25</v>
      </c>
      <c r="H1" s="146">
        <v>45076</v>
      </c>
      <c r="I1" s="147"/>
      <c r="J1" s="17" t="s">
        <v>15</v>
      </c>
      <c r="K1" s="159">
        <f>M2-E2</f>
        <v>-790524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2050924</v>
      </c>
      <c r="F2" s="20"/>
      <c r="G2" s="31" t="s">
        <v>32</v>
      </c>
      <c r="H2" s="148" t="s">
        <v>239</v>
      </c>
      <c r="I2" s="163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43" t="s">
        <v>41</v>
      </c>
      <c r="H12" s="144"/>
      <c r="I12" s="14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48" t="s">
        <v>240</v>
      </c>
      <c r="I14" s="16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50" t="s">
        <v>33</v>
      </c>
      <c r="H15" s="151"/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68" t="s">
        <v>26</v>
      </c>
      <c r="I16" s="16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180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K1:L1">
    <cfRule type="cellIs" dxfId="75" priority="6" operator="greaterThan">
      <formula>0</formula>
    </cfRule>
    <cfRule type="cellIs" dxfId="74" priority="7" operator="lessThan">
      <formula>0</formula>
    </cfRule>
  </conditionalFormatting>
  <conditionalFormatting sqref="L5:L30">
    <cfRule type="duplicateValues" dxfId="73" priority="54"/>
  </conditionalFormatting>
  <conditionalFormatting sqref="M5:M30">
    <cfRule type="duplicateValues" dxfId="72" priority="55"/>
  </conditionalFormatting>
  <conditionalFormatting sqref="S24:S26">
    <cfRule type="duplicateValues" dxfId="71" priority="1"/>
  </conditionalFormatting>
  <conditionalFormatting sqref="D5:D30">
    <cfRule type="duplicateValues" dxfId="70" priority="59"/>
  </conditionalFormatting>
  <conditionalFormatting sqref="E5:E30">
    <cfRule type="duplicateValues" dxfId="69" priority="60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178</v>
      </c>
      <c r="C1" s="157"/>
      <c r="D1" s="157"/>
      <c r="E1" s="157"/>
      <c r="F1" s="158"/>
      <c r="G1" s="16" t="s">
        <v>25</v>
      </c>
      <c r="H1" s="146">
        <v>45163</v>
      </c>
      <c r="I1" s="147"/>
      <c r="J1" s="17" t="s">
        <v>15</v>
      </c>
      <c r="K1" s="159">
        <f>M2-E2</f>
        <v>-218110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518110</v>
      </c>
      <c r="F2" s="20"/>
      <c r="G2" s="31" t="s">
        <v>32</v>
      </c>
      <c r="H2" s="148" t="s">
        <v>265</v>
      </c>
      <c r="I2" s="163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43" t="s">
        <v>41</v>
      </c>
      <c r="H12" s="144"/>
      <c r="I12" s="14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46">
        <v>45163</v>
      </c>
      <c r="I13" s="14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48" t="s">
        <v>265</v>
      </c>
      <c r="I14" s="16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50" t="s">
        <v>33</v>
      </c>
      <c r="H15" s="151"/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68" t="s">
        <v>26</v>
      </c>
      <c r="I16" s="16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180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0">
    <cfRule type="duplicateValues" dxfId="68" priority="28"/>
  </conditionalFormatting>
  <conditionalFormatting sqref="E5:E30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179</v>
      </c>
      <c r="C1" s="157"/>
      <c r="D1" s="157"/>
      <c r="E1" s="157"/>
      <c r="F1" s="158"/>
      <c r="G1" s="16" t="s">
        <v>25</v>
      </c>
      <c r="H1" s="146">
        <v>45163</v>
      </c>
      <c r="I1" s="147"/>
      <c r="J1" s="17" t="s">
        <v>15</v>
      </c>
      <c r="K1" s="159">
        <f>M2-E2</f>
        <v>-470000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590000</v>
      </c>
      <c r="F2" s="20"/>
      <c r="G2" s="31" t="s">
        <v>32</v>
      </c>
      <c r="H2" s="148" t="s">
        <v>266</v>
      </c>
      <c r="I2" s="163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43" t="s">
        <v>41</v>
      </c>
      <c r="H12" s="144"/>
      <c r="I12" s="14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46">
        <v>45163</v>
      </c>
      <c r="I13" s="14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48" t="s">
        <v>266</v>
      </c>
      <c r="I14" s="16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50" t="s">
        <v>33</v>
      </c>
      <c r="H15" s="151"/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68" t="s">
        <v>26</v>
      </c>
      <c r="I16" s="16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180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1" priority="22"/>
  </conditionalFormatting>
  <conditionalFormatting sqref="E5:E30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180</v>
      </c>
      <c r="C1" s="157"/>
      <c r="D1" s="157"/>
      <c r="E1" s="157"/>
      <c r="F1" s="158"/>
      <c r="G1" s="16" t="s">
        <v>25</v>
      </c>
      <c r="H1" s="146">
        <v>45345</v>
      </c>
      <c r="I1" s="147"/>
      <c r="J1" s="17" t="s">
        <v>15</v>
      </c>
      <c r="K1" s="159">
        <f>M2-E2</f>
        <v>1098545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1601499</v>
      </c>
      <c r="F2" s="20"/>
      <c r="G2" s="31" t="s">
        <v>32</v>
      </c>
      <c r="H2" s="148" t="s">
        <v>254</v>
      </c>
      <c r="I2" s="163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43" t="s">
        <v>90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46">
        <v>45345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180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301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302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181</v>
      </c>
      <c r="C1" s="157"/>
      <c r="D1" s="157"/>
      <c r="E1" s="157"/>
      <c r="F1" s="158"/>
      <c r="G1" s="16" t="s">
        <v>25</v>
      </c>
      <c r="H1" s="146">
        <v>45477</v>
      </c>
      <c r="I1" s="147"/>
      <c r="J1" s="17" t="s">
        <v>15</v>
      </c>
      <c r="K1" s="159">
        <f>M2-E2</f>
        <v>391120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1221202</v>
      </c>
      <c r="F2" s="20"/>
      <c r="G2" s="31" t="s">
        <v>32</v>
      </c>
      <c r="H2" s="148" t="s">
        <v>255</v>
      </c>
      <c r="I2" s="163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68" t="s">
        <v>26</v>
      </c>
      <c r="I4" s="16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43" t="s">
        <v>90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46">
        <v>45477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170" t="s">
        <v>77</v>
      </c>
      <c r="B43" s="170"/>
      <c r="C43" s="170"/>
      <c r="F43" s="170" t="s">
        <v>78</v>
      </c>
      <c r="G43" s="170"/>
      <c r="H43" s="17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182</v>
      </c>
      <c r="C1" s="157"/>
      <c r="D1" s="157"/>
      <c r="E1" s="157"/>
      <c r="F1" s="158"/>
      <c r="G1" s="16" t="s">
        <v>25</v>
      </c>
      <c r="H1" s="146">
        <v>45548</v>
      </c>
      <c r="I1" s="147"/>
      <c r="J1" s="17" t="s">
        <v>15</v>
      </c>
      <c r="K1" s="159">
        <f>M2-E2</f>
        <v>1002304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1412799</v>
      </c>
      <c r="F2" s="20"/>
      <c r="G2" s="31" t="s">
        <v>32</v>
      </c>
      <c r="H2" s="148" t="s">
        <v>203</v>
      </c>
      <c r="I2" s="163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46">
        <v>45561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48" t="s">
        <v>203</v>
      </c>
      <c r="I16" s="14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42" t="s">
        <v>108</v>
      </c>
      <c r="B43" s="142"/>
      <c r="C43" s="142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G14:I14"/>
    <mergeCell ref="H15:I15"/>
    <mergeCell ref="G17:I17"/>
    <mergeCell ref="H16:I16"/>
    <mergeCell ref="A43:C4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183</v>
      </c>
      <c r="C1" s="157"/>
      <c r="D1" s="157"/>
      <c r="E1" s="157"/>
      <c r="F1" s="158"/>
      <c r="G1" s="16" t="s">
        <v>25</v>
      </c>
      <c r="H1" s="146">
        <v>45631</v>
      </c>
      <c r="I1" s="147"/>
      <c r="J1" s="17" t="s">
        <v>15</v>
      </c>
      <c r="K1" s="159">
        <f>M2-E2</f>
        <v>528979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1502849</v>
      </c>
      <c r="F2" s="20"/>
      <c r="G2" s="31" t="s">
        <v>32</v>
      </c>
      <c r="H2" s="148" t="s">
        <v>257</v>
      </c>
      <c r="I2" s="163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46">
        <v>45653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48" t="s">
        <v>258</v>
      </c>
      <c r="I16" s="14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81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42" t="s">
        <v>108</v>
      </c>
      <c r="B43" s="142"/>
      <c r="C43" s="142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56" t="s">
        <v>184</v>
      </c>
      <c r="C1" s="157"/>
      <c r="D1" s="157"/>
      <c r="E1" s="157"/>
      <c r="F1" s="158"/>
      <c r="G1" s="16" t="s">
        <v>25</v>
      </c>
      <c r="H1" s="146">
        <v>45714</v>
      </c>
      <c r="I1" s="147"/>
      <c r="J1" s="17" t="s">
        <v>15</v>
      </c>
      <c r="K1" s="159">
        <f>M2-E2</f>
        <v>405496</v>
      </c>
      <c r="L1" s="160"/>
      <c r="M1" s="18"/>
      <c r="N1" s="19"/>
    </row>
    <row r="2" spans="1:14" ht="15.6" x14ac:dyDescent="0.3">
      <c r="A2" s="41"/>
      <c r="B2" s="161"/>
      <c r="C2" s="162"/>
      <c r="D2" s="13" t="s">
        <v>14</v>
      </c>
      <c r="E2" s="12">
        <f>SUM(E5:E30)</f>
        <v>1386194</v>
      </c>
      <c r="F2" s="20"/>
      <c r="G2" s="31" t="s">
        <v>32</v>
      </c>
      <c r="H2" s="148" t="s">
        <v>259</v>
      </c>
      <c r="I2" s="163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46">
        <v>45743</v>
      </c>
      <c r="I15" s="14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48" t="s">
        <v>260</v>
      </c>
      <c r="I16" s="14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42" t="s">
        <v>108</v>
      </c>
      <c r="B43" s="142"/>
      <c r="C43" s="142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185</v>
      </c>
      <c r="C1" s="157"/>
      <c r="D1" s="157"/>
      <c r="E1" s="157"/>
      <c r="F1" s="158"/>
      <c r="G1" s="16" t="s">
        <v>25</v>
      </c>
      <c r="H1" s="146">
        <v>45840</v>
      </c>
      <c r="I1" s="147"/>
      <c r="J1" s="17" t="s">
        <v>15</v>
      </c>
      <c r="K1" s="159">
        <f>M2-E2</f>
        <v>1125929.5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1410000</v>
      </c>
      <c r="F2" s="20"/>
      <c r="G2" s="31" t="s">
        <v>32</v>
      </c>
      <c r="H2" s="148" t="s">
        <v>261</v>
      </c>
      <c r="I2" s="163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45840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203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171">
        <v>150000</v>
      </c>
      <c r="K31" s="17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4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39">
        <f>H33*I33</f>
        <v>467304</v>
      </c>
      <c r="K33" s="139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39">
        <f t="shared" ref="J34:J39" si="3">H34*I34</f>
        <v>53736</v>
      </c>
      <c r="K34" s="139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39">
        <f t="shared" si="3"/>
        <v>605260</v>
      </c>
      <c r="K35" s="139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39">
        <f t="shared" si="3"/>
        <v>151235.5</v>
      </c>
      <c r="K36" s="139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39">
        <f t="shared" si="3"/>
        <v>940405.5</v>
      </c>
      <c r="K37" s="139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39">
        <f t="shared" si="3"/>
        <v>317988</v>
      </c>
      <c r="K38" s="139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40">
        <f>SUM(J33:J39)</f>
        <v>2535929</v>
      </c>
      <c r="K40" s="140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41"/>
      <c r="K41" s="141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42" t="s">
        <v>200</v>
      </c>
      <c r="C43" s="14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8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227</v>
      </c>
      <c r="C1" s="157"/>
      <c r="D1" s="157"/>
      <c r="E1" s="157"/>
      <c r="F1" s="158"/>
      <c r="G1" s="16" t="s">
        <v>25</v>
      </c>
      <c r="H1" s="146">
        <v>45918</v>
      </c>
      <c r="I1" s="147"/>
      <c r="J1" s="17" t="s">
        <v>15</v>
      </c>
      <c r="K1" s="159">
        <f>M2-E2</f>
        <v>979350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1551000</v>
      </c>
      <c r="F2" s="20"/>
      <c r="G2" s="31" t="s">
        <v>32</v>
      </c>
      <c r="H2" s="148" t="s">
        <v>259</v>
      </c>
      <c r="I2" s="163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45918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259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39">
        <f>H33*I33</f>
        <v>496056</v>
      </c>
      <c r="K33" s="139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39">
        <f t="shared" ref="J34:J39" si="3">H34*I34</f>
        <v>644160</v>
      </c>
      <c r="K34" s="139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39">
        <f t="shared" si="3"/>
        <v>1136588</v>
      </c>
      <c r="K35" s="139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39">
        <f t="shared" si="3"/>
        <v>244273.5</v>
      </c>
      <c r="K36" s="139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39">
        <f t="shared" si="3"/>
        <v>3182.5</v>
      </c>
      <c r="K37" s="139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39">
        <f t="shared" si="3"/>
        <v>6090</v>
      </c>
      <c r="K38" s="139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40">
        <f>SUM(J33:J39)</f>
        <v>2530350</v>
      </c>
      <c r="K40" s="140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41"/>
      <c r="K41" s="141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248</v>
      </c>
      <c r="C1" s="157"/>
      <c r="D1" s="157"/>
      <c r="E1" s="157"/>
      <c r="F1" s="158"/>
      <c r="G1" s="16" t="s">
        <v>25</v>
      </c>
      <c r="H1" s="146">
        <v>46016</v>
      </c>
      <c r="I1" s="147"/>
      <c r="J1" s="17" t="s">
        <v>15</v>
      </c>
      <c r="K1" s="159">
        <f>M2-E2</f>
        <v>-469722.5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585000</v>
      </c>
      <c r="F2" s="20"/>
      <c r="G2" s="31" t="s">
        <v>32</v>
      </c>
      <c r="H2" s="148" t="s">
        <v>262</v>
      </c>
      <c r="I2" s="163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46016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263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39">
        <f>H33*I33</f>
        <v>115277.5</v>
      </c>
      <c r="K33" s="139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39">
        <f t="shared" ref="J34:J39" si="3">H34*I34</f>
        <v>0</v>
      </c>
      <c r="K34" s="13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39">
        <f t="shared" si="3"/>
        <v>0</v>
      </c>
      <c r="K35" s="13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39">
        <f t="shared" si="3"/>
        <v>0</v>
      </c>
      <c r="K36" s="139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39">
        <f t="shared" si="3"/>
        <v>0</v>
      </c>
      <c r="K37" s="13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40">
        <f>SUM(J33:J39)</f>
        <v>115277.5</v>
      </c>
      <c r="K40" s="140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41"/>
      <c r="K41" s="141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30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249</v>
      </c>
      <c r="C1" s="157"/>
      <c r="D1" s="157"/>
      <c r="E1" s="157"/>
      <c r="F1" s="158"/>
      <c r="G1" s="16" t="s">
        <v>25</v>
      </c>
      <c r="H1" s="146">
        <v>46068</v>
      </c>
      <c r="I1" s="147"/>
      <c r="J1" s="17" t="s">
        <v>15</v>
      </c>
      <c r="K1" s="159">
        <f>M2-E2</f>
        <v>610376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1578900</v>
      </c>
      <c r="F2" s="20"/>
      <c r="G2" s="31" t="s">
        <v>32</v>
      </c>
      <c r="H2" s="148" t="s">
        <v>275</v>
      </c>
      <c r="I2" s="163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46">
        <v>46068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275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39">
        <f>H33*I33</f>
        <v>456768</v>
      </c>
      <c r="K33" s="139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39">
        <f t="shared" ref="J34:J39" si="3">H34*I34</f>
        <v>1519732.8</v>
      </c>
      <c r="K34" s="139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39">
        <f t="shared" si="3"/>
        <v>5000</v>
      </c>
      <c r="K35" s="139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39">
        <f t="shared" si="3"/>
        <v>203775</v>
      </c>
      <c r="K36" s="139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39">
        <f t="shared" si="3"/>
        <v>4000</v>
      </c>
      <c r="K37" s="139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40">
        <f>SUM(J33:J39)</f>
        <v>2189275.7999999998</v>
      </c>
      <c r="K40" s="140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41"/>
      <c r="K41" s="141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zoomScaleNormal="100" workbookViewId="0">
      <pane ySplit="1" topLeftCell="A28" activePane="bottomLeft" state="frozen"/>
      <selection pane="bottomLeft" activeCell="F16" sqref="F16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282</v>
      </c>
      <c r="C1" s="157"/>
      <c r="D1" s="157"/>
      <c r="E1" s="157"/>
      <c r="F1" s="158"/>
      <c r="G1" s="16" t="s">
        <v>25</v>
      </c>
      <c r="H1" s="146">
        <v>46154</v>
      </c>
      <c r="I1" s="147"/>
      <c r="J1" s="17" t="s">
        <v>15</v>
      </c>
      <c r="K1" s="159">
        <f>M2-E2</f>
        <v>47972.399999999907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1468114</v>
      </c>
      <c r="F2" s="20"/>
      <c r="G2" s="31" t="s">
        <v>32</v>
      </c>
      <c r="H2" s="148" t="s">
        <v>297</v>
      </c>
      <c r="I2" s="163"/>
      <c r="J2" s="37"/>
      <c r="K2" s="10"/>
      <c r="L2" s="11" t="s">
        <v>14</v>
      </c>
      <c r="M2" s="12">
        <f>SUM(M5:M22)</f>
        <v>1516086.4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296</v>
      </c>
      <c r="M6" s="5">
        <v>955200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304</v>
      </c>
      <c r="M7" s="5">
        <v>172000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1100000</v>
      </c>
      <c r="F10" s="22" t="s">
        <v>293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305</v>
      </c>
      <c r="E14" s="9">
        <v>25000</v>
      </c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>
        <v>46154</v>
      </c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">
        <v>297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>
        <v>90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 t="s">
        <v>303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39">
        <f>H33*I33</f>
        <v>388886.4</v>
      </c>
      <c r="K33" s="139"/>
      <c r="L33" s="83"/>
      <c r="M33" s="131"/>
      <c r="N33" s="15"/>
    </row>
    <row r="34" spans="2:14" x14ac:dyDescent="0.3">
      <c r="E34" s="15" t="s">
        <v>168</v>
      </c>
      <c r="F34" s="57">
        <f t="shared" ref="F34:F39" si="2">H34*G34</f>
        <v>378100</v>
      </c>
      <c r="G34" s="57">
        <v>95</v>
      </c>
      <c r="H34" s="65">
        <v>3980</v>
      </c>
      <c r="I34" s="60">
        <v>240</v>
      </c>
      <c r="J34" s="139">
        <f t="shared" ref="J34:J39" si="3">H34*I34</f>
        <v>955200</v>
      </c>
      <c r="K34" s="139"/>
      <c r="L34" s="83"/>
      <c r="M34" s="131"/>
      <c r="N34" s="15"/>
    </row>
    <row r="35" spans="2:14" x14ac:dyDescent="0.3">
      <c r="C35" s="122"/>
      <c r="E35" s="15" t="s">
        <v>224</v>
      </c>
      <c r="F35" s="57">
        <f t="shared" si="2"/>
        <v>61920</v>
      </c>
      <c r="G35" s="57">
        <v>90</v>
      </c>
      <c r="H35" s="65">
        <v>688</v>
      </c>
      <c r="I35" s="60">
        <v>250</v>
      </c>
      <c r="J35" s="139">
        <f t="shared" si="3"/>
        <v>172000</v>
      </c>
      <c r="K35" s="13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39">
        <f t="shared" si="3"/>
        <v>0</v>
      </c>
      <c r="K36" s="13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39">
        <f t="shared" si="3"/>
        <v>0</v>
      </c>
      <c r="K37" s="13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654267.6</v>
      </c>
      <c r="G40" s="58"/>
      <c r="H40" s="82">
        <f>SUM(H33:H39)</f>
        <v>6468.4</v>
      </c>
      <c r="I40" s="50"/>
      <c r="J40" s="140">
        <f>SUM(J33:J39)</f>
        <v>1516086.4</v>
      </c>
      <c r="K40" s="14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81.78%</v>
      </c>
      <c r="G41" s="15"/>
      <c r="H41" s="56"/>
      <c r="I41" s="15"/>
      <c r="J41" s="141"/>
      <c r="K41" s="141"/>
      <c r="L41" s="81" t="s">
        <v>89</v>
      </c>
      <c r="M41" s="101">
        <f>J40-M40</f>
        <v>1516086.4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>
        <f>F31-F40</f>
        <v>145732.40000000002</v>
      </c>
      <c r="E43" s="15">
        <v>95</v>
      </c>
      <c r="F43" s="126">
        <f>D43/E43</f>
        <v>1534.0252631578949</v>
      </c>
      <c r="G43" s="60">
        <v>240</v>
      </c>
      <c r="H43" s="97">
        <f>F43*G43</f>
        <v>368166.06315789477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56" t="s">
        <v>291</v>
      </c>
      <c r="C1" s="157"/>
      <c r="D1" s="157"/>
      <c r="E1" s="157"/>
      <c r="F1" s="158"/>
      <c r="G1" s="16" t="s">
        <v>25</v>
      </c>
      <c r="H1" s="146"/>
      <c r="I1" s="147"/>
      <c r="J1" s="17" t="s">
        <v>15</v>
      </c>
      <c r="K1" s="159">
        <f>M2-E2</f>
        <v>0</v>
      </c>
      <c r="L1" s="160"/>
      <c r="M1" s="18"/>
      <c r="N1" s="19"/>
    </row>
    <row r="2" spans="2:14" ht="15.6" x14ac:dyDescent="0.3">
      <c r="B2" s="161"/>
      <c r="C2" s="162"/>
      <c r="D2" s="13" t="s">
        <v>14</v>
      </c>
      <c r="E2" s="12">
        <f>SUM(E5:E30)</f>
        <v>0</v>
      </c>
      <c r="F2" s="20"/>
      <c r="G2" s="31" t="s">
        <v>32</v>
      </c>
      <c r="H2" s="148" t="str">
        <f ca="1">IF(ISBLANK(H1),"0 Days",CONCATENATE(_xlfn.DAYS(TODAY(), H1-1)," days"))</f>
        <v>0 Days</v>
      </c>
      <c r="I2" s="163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64" t="s">
        <v>36</v>
      </c>
      <c r="C3" s="165"/>
      <c r="D3" s="166"/>
      <c r="E3" s="166"/>
      <c r="F3" s="167"/>
      <c r="G3" s="150" t="s">
        <v>33</v>
      </c>
      <c r="H3" s="151"/>
      <c r="I3" s="151"/>
      <c r="J3" s="164" t="s">
        <v>37</v>
      </c>
      <c r="K3" s="165"/>
      <c r="L3" s="166"/>
      <c r="M3" s="166"/>
      <c r="N3" s="16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/>
      <c r="D5" s="26"/>
      <c r="E5" s="9"/>
      <c r="F5" s="23"/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/>
      <c r="D6" s="3"/>
      <c r="E6" s="5"/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0">
        <v>3</v>
      </c>
      <c r="C7" s="7"/>
      <c r="D7" s="3"/>
      <c r="E7" s="5"/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/>
      <c r="D8" s="3"/>
      <c r="E8" s="5"/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43" t="s">
        <v>57</v>
      </c>
      <c r="H14" s="144"/>
      <c r="I14" s="14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46"/>
      <c r="I15" s="14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48" t="str">
        <f ca="1">IF(ISBLANK(H15),"0 Days",CONCATENATE(_xlfn.DAYS(TODAY(), H1-1)," days"))</f>
        <v>0 Days</v>
      </c>
      <c r="I16" s="14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50" t="s">
        <v>33</v>
      </c>
      <c r="H17" s="151"/>
      <c r="I17" s="15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0</v>
      </c>
      <c r="G31" s="90" t="s">
        <v>186</v>
      </c>
      <c r="H31" s="84"/>
      <c r="I31" s="59" t="s">
        <v>187</v>
      </c>
      <c r="J31" s="84"/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53" t="s">
        <v>64</v>
      </c>
      <c r="K32" s="153"/>
      <c r="L32" s="154" t="s">
        <v>158</v>
      </c>
      <c r="M32" s="155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39">
        <f>H33*I33</f>
        <v>0</v>
      </c>
      <c r="K33" s="139"/>
      <c r="L33" s="83"/>
      <c r="M33" s="131"/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39">
        <f t="shared" ref="J34:J39" si="3">H34*I34</f>
        <v>0</v>
      </c>
      <c r="K34" s="13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39">
        <f t="shared" si="3"/>
        <v>0</v>
      </c>
      <c r="K35" s="13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39">
        <f t="shared" si="3"/>
        <v>0</v>
      </c>
      <c r="K36" s="13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39">
        <f t="shared" si="3"/>
        <v>0</v>
      </c>
      <c r="K37" s="13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39">
        <f t="shared" si="3"/>
        <v>0</v>
      </c>
      <c r="K38" s="13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39">
        <f t="shared" si="3"/>
        <v>0</v>
      </c>
      <c r="K39" s="139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40">
        <f>SUM(J33:J39)</f>
        <v>0</v>
      </c>
      <c r="K40" s="14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e">
        <f>CONCATENATE(ROUND((F40/F31)*100,2),"%")</f>
        <v>#DIV/0!</v>
      </c>
      <c r="G41" s="15"/>
      <c r="H41" s="56"/>
      <c r="I41" s="15"/>
      <c r="J41" s="141"/>
      <c r="K41" s="141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42" t="s">
        <v>200</v>
      </c>
      <c r="C43" s="142"/>
      <c r="D43" s="57">
        <f>F31-F40</f>
        <v>0</v>
      </c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2" t="s">
        <v>200</v>
      </c>
      <c r="C44" s="14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D32" sqref="D32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206" t="s">
        <v>0</v>
      </c>
      <c r="B1" s="207" t="s">
        <v>238</v>
      </c>
      <c r="C1" s="208" t="s">
        <v>96</v>
      </c>
      <c r="D1" s="209" t="s">
        <v>15</v>
      </c>
      <c r="E1" s="208" t="s">
        <v>37</v>
      </c>
      <c r="F1" s="209" t="s">
        <v>36</v>
      </c>
      <c r="G1" s="209" t="s">
        <v>26</v>
      </c>
      <c r="H1" s="206" t="s">
        <v>32</v>
      </c>
      <c r="I1" s="210"/>
      <c r="J1" s="211" t="s">
        <v>19</v>
      </c>
      <c r="K1" s="211" t="s">
        <v>298</v>
      </c>
      <c r="L1" s="211" t="s">
        <v>299</v>
      </c>
      <c r="M1" s="205"/>
      <c r="U1" s="184"/>
      <c r="V1" s="184"/>
    </row>
    <row r="2" spans="1:22" x14ac:dyDescent="0.3">
      <c r="A2" s="195">
        <v>1</v>
      </c>
      <c r="B2" s="196" t="str">
        <f>'Term-1'!$B$1</f>
        <v>May2023 - Sept2023</v>
      </c>
      <c r="C2" s="197" t="s">
        <v>97</v>
      </c>
      <c r="D2" s="198">
        <f>IF(F2="","",E2-F2)</f>
        <v>-790524</v>
      </c>
      <c r="E2" s="199">
        <f>'Term-1'!$M$2</f>
        <v>1260400</v>
      </c>
      <c r="F2" s="199">
        <f>'Term-1'!$E$2</f>
        <v>2050924</v>
      </c>
      <c r="G2" s="200">
        <f>MIN('Term-1'!H5:H11)</f>
        <v>80</v>
      </c>
      <c r="H2" s="201" t="str" cm="1">
        <f t="array" ref="H2:I2">'Term-1'!H2:I2</f>
        <v>75 days</v>
      </c>
      <c r="I2">
        <v>0</v>
      </c>
      <c r="J2" s="202">
        <f>'Term-1'!$F$31</f>
        <v>700000</v>
      </c>
      <c r="K2" s="202">
        <f>'Term-1'!$F$40</f>
        <v>424400</v>
      </c>
      <c r="L2" s="203" t="str">
        <f>'Term-1'!$F$41</f>
        <v>60.63%</v>
      </c>
    </row>
    <row r="3" spans="1:22" x14ac:dyDescent="0.3">
      <c r="A3" s="185">
        <v>2</v>
      </c>
      <c r="B3" s="186" t="str">
        <f>'Term-2'!$B$1</f>
        <v>Sept2023 - Nov2023</v>
      </c>
      <c r="C3" s="187" t="s">
        <v>98</v>
      </c>
      <c r="D3" s="188">
        <f t="shared" ref="D3:D7" si="0">IF(F3="","",E3-F3)</f>
        <v>-218110</v>
      </c>
      <c r="E3" s="189">
        <f>'Term-2'!$M$2</f>
        <v>300000</v>
      </c>
      <c r="F3" s="189">
        <f>'Term-2'!$E$2</f>
        <v>518110</v>
      </c>
      <c r="G3" s="190">
        <f>MIN('Term-2'!H5:H11)</f>
        <v>325</v>
      </c>
      <c r="H3" s="191" t="str" cm="1">
        <f t="array" ref="H3:I3">'Term-2'!H2:I2</f>
        <v>27 days</v>
      </c>
      <c r="I3" s="192">
        <v>0</v>
      </c>
      <c r="J3" s="193">
        <f>'Term-2'!$F$31</f>
        <v>800000</v>
      </c>
      <c r="K3" s="193">
        <f>'Term-2'!$F$40</f>
        <v>620000</v>
      </c>
      <c r="L3" s="194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82">
        <f>'Term-3'!$F$31</f>
        <v>700000</v>
      </c>
      <c r="K4" s="182">
        <f>'Term-3'!$F$40</f>
        <v>390000</v>
      </c>
      <c r="L4" s="183" t="str">
        <f>'Term-3'!$F$41</f>
        <v>55.71%</v>
      </c>
    </row>
    <row r="5" spans="1:22" x14ac:dyDescent="0.3">
      <c r="A5" s="185">
        <v>4</v>
      </c>
      <c r="B5" s="186" t="str">
        <f>'Term-4'!$B$1</f>
        <v>Feb2024 - May2024</v>
      </c>
      <c r="C5" s="187" t="s">
        <v>100</v>
      </c>
      <c r="D5" s="188">
        <f t="shared" si="0"/>
        <v>1098545</v>
      </c>
      <c r="E5" s="189">
        <f>'Term-4'!$M$2</f>
        <v>2700044</v>
      </c>
      <c r="F5" s="189">
        <f>'Term-4'!$E$2</f>
        <v>1601499</v>
      </c>
      <c r="G5" s="190">
        <f>MIN('Term-4'!H5:H11)</f>
        <v>62</v>
      </c>
      <c r="H5" s="191" t="str" cm="1">
        <f t="array" ref="H5:I5">'Term-4'!H2:I2</f>
        <v>72 days</v>
      </c>
      <c r="I5" s="192">
        <v>0</v>
      </c>
      <c r="J5" s="193">
        <f>'Term-4'!$F$31</f>
        <v>700000</v>
      </c>
      <c r="K5" s="193">
        <f>'Term-4'!$F$40</f>
        <v>807868</v>
      </c>
      <c r="L5" s="194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82">
        <f>'Term-5'!$F$31</f>
        <v>750000</v>
      </c>
      <c r="K6" s="182">
        <f>'Term-5'!$F$40</f>
        <v>696542.20000000007</v>
      </c>
      <c r="L6" s="183" t="str">
        <f>'Term-5'!$F$41</f>
        <v>92.87%</v>
      </c>
    </row>
    <row r="7" spans="1:22" x14ac:dyDescent="0.3">
      <c r="A7" s="185">
        <v>6</v>
      </c>
      <c r="B7" s="186" t="str">
        <f>'Term-6'!$B$1</f>
        <v>Sep2024 - Nov2024</v>
      </c>
      <c r="C7" s="187" t="s">
        <v>102</v>
      </c>
      <c r="D7" s="188">
        <f t="shared" si="0"/>
        <v>1002304</v>
      </c>
      <c r="E7" s="189">
        <f>'Term-6'!$M$2</f>
        <v>2415103</v>
      </c>
      <c r="F7" s="189">
        <f>'Term-6'!$E$2</f>
        <v>1412799</v>
      </c>
      <c r="G7" s="190">
        <f>MIN('Term-6'!H5:H11)</f>
        <v>65</v>
      </c>
      <c r="H7" s="191" t="str" cm="1">
        <f t="array" ref="H7:I7">'Term-6'!H2:I2</f>
        <v>73 days</v>
      </c>
      <c r="I7" s="192">
        <v>0</v>
      </c>
      <c r="J7" s="193">
        <f>'Term-6'!$F$31</f>
        <v>700000</v>
      </c>
      <c r="K7" s="193">
        <f>'Term-6'!$F$40</f>
        <v>526058.6</v>
      </c>
      <c r="L7" s="194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82">
        <f>'Term-7'!$F$31</f>
        <v>925000</v>
      </c>
      <c r="K8" s="182">
        <f>'Term-7'!$F$40</f>
        <v>842685</v>
      </c>
      <c r="L8" s="183" t="str">
        <f>'Term-7'!$F$41</f>
        <v>91.1%</v>
      </c>
    </row>
    <row r="9" spans="1:22" x14ac:dyDescent="0.3">
      <c r="A9" s="185">
        <v>8</v>
      </c>
      <c r="B9" s="186" t="str">
        <f>'Term-8'!$B$1</f>
        <v>Feb2025 - May2025</v>
      </c>
      <c r="C9" s="187" t="s">
        <v>155</v>
      </c>
      <c r="D9" s="188">
        <f t="shared" si="1"/>
        <v>405496</v>
      </c>
      <c r="E9" s="189">
        <f>'Term-8'!$M$2</f>
        <v>1791690</v>
      </c>
      <c r="F9" s="189">
        <f>'Term-8'!$E$2</f>
        <v>1386194</v>
      </c>
      <c r="G9" s="190">
        <f>MIN('Term-8'!H5:H11)</f>
        <v>67</v>
      </c>
      <c r="H9" s="191" t="str" cm="1">
        <f t="array" ref="H9:I9">'Term-8'!H2:I2</f>
        <v>78 days</v>
      </c>
      <c r="I9" s="192">
        <v>0</v>
      </c>
      <c r="J9" s="193">
        <f>'Term-8'!$F$31</f>
        <v>850000</v>
      </c>
      <c r="K9" s="193">
        <f>'Term-8'!$F$40</f>
        <v>587290.30000000005</v>
      </c>
      <c r="L9" s="194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82">
        <f>'Term-9'!$F$31</f>
        <v>1050000</v>
      </c>
      <c r="K10" s="182">
        <f>'Term-9'!$F$40</f>
        <v>766370</v>
      </c>
      <c r="L10" s="183" t="str">
        <f>'Term-9'!$F$41</f>
        <v>72.99%</v>
      </c>
    </row>
    <row r="11" spans="1:22" x14ac:dyDescent="0.3">
      <c r="A11" s="185">
        <v>10</v>
      </c>
      <c r="B11" s="186" t="str">
        <f>'Term-10'!$B$1</f>
        <v>Sept2025 - Dec2025</v>
      </c>
      <c r="C11" s="187" t="s">
        <v>201</v>
      </c>
      <c r="D11" s="188">
        <f t="shared" ref="D11" si="2">IF(F11="","",E11-F11)</f>
        <v>979350</v>
      </c>
      <c r="E11" s="189">
        <f>'Term-10'!$M$2</f>
        <v>2530350</v>
      </c>
      <c r="F11" s="189">
        <f>'Term-10'!$E$2</f>
        <v>1551000</v>
      </c>
      <c r="G11" s="190">
        <f>MIN('Term-10'!H5:H13)</f>
        <v>58</v>
      </c>
      <c r="H11" s="191" t="str" cm="1">
        <f t="array" ref="H11:I11">'Term-10'!H2:I2</f>
        <v>78 days</v>
      </c>
      <c r="I11" s="192">
        <v>0</v>
      </c>
      <c r="J11" s="193">
        <f>'Term-10'!$F$31</f>
        <v>900000</v>
      </c>
      <c r="K11" s="193">
        <f>'Term-10'!$F$40</f>
        <v>593783</v>
      </c>
      <c r="L11" s="194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82">
        <f>'Term-11'!$F$31</f>
        <v>990000</v>
      </c>
      <c r="K12" s="182">
        <f>'Term-11'!$F$40</f>
        <v>918673</v>
      </c>
      <c r="L12" s="183" t="str">
        <f>'Term-11'!$F$41</f>
        <v>92.8%</v>
      </c>
      <c r="O12" s="204"/>
    </row>
    <row r="13" spans="1:22" x14ac:dyDescent="0.3">
      <c r="A13" s="185">
        <v>12</v>
      </c>
      <c r="B13" s="186" t="str">
        <f>'Term-12'!$B$1</f>
        <v>Feb2026 - Apr2026</v>
      </c>
      <c r="C13" s="187" t="s">
        <v>252</v>
      </c>
      <c r="D13" s="188">
        <f t="shared" ref="D13" si="4">IF(F13="","",E13-F13)</f>
        <v>610376</v>
      </c>
      <c r="E13" s="189">
        <f>'Term-12'!$M$2</f>
        <v>2189276</v>
      </c>
      <c r="F13" s="189">
        <f>'Term-12'!$E$2</f>
        <v>1578900</v>
      </c>
      <c r="G13" s="190">
        <f>MIN('Term-12'!H6:H14)</f>
        <v>121</v>
      </c>
      <c r="H13" s="191" t="str" cm="1">
        <f t="array" ref="H13:I13">'Term-12'!H2:I2</f>
        <v>71 days</v>
      </c>
      <c r="I13" s="192">
        <v>0</v>
      </c>
      <c r="J13" s="193">
        <f>'Term-12'!$F$31</f>
        <v>800000</v>
      </c>
      <c r="K13" s="193">
        <f>'Term-12'!$F$40</f>
        <v>1052129.2</v>
      </c>
      <c r="L13" s="194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47972.399999999907</v>
      </c>
      <c r="E14" s="87">
        <f>'Term-13'!$M$2</f>
        <v>1516086.4</v>
      </c>
      <c r="F14" s="87">
        <f>'Term-13'!$E$2</f>
        <v>1468114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82">
        <f>'Term-13'!$F$31</f>
        <v>800000</v>
      </c>
      <c r="K14" s="182">
        <f>'Term-13'!$F$40</f>
        <v>654267.6</v>
      </c>
      <c r="L14" s="183" t="str">
        <f>'Term-13'!$F$41</f>
        <v>81.78%</v>
      </c>
    </row>
    <row r="15" spans="1:22" x14ac:dyDescent="0.3">
      <c r="A15" s="185">
        <v>14</v>
      </c>
      <c r="B15" s="186" t="str">
        <f>'Term-13'!$B$1</f>
        <v>May2026 - July2026</v>
      </c>
      <c r="C15" s="187" t="s">
        <v>292</v>
      </c>
      <c r="D15" s="188">
        <f t="shared" ref="D15" si="6">IF(F15="","",E15-F15)</f>
        <v>0</v>
      </c>
      <c r="E15" s="189">
        <f>'Term-14'!$M$2</f>
        <v>0</v>
      </c>
      <c r="F15" s="189">
        <f>'Term-14'!$E$2</f>
        <v>0</v>
      </c>
      <c r="G15" s="190">
        <f>MIN('Term-14'!H6:H14)</f>
        <v>0</v>
      </c>
      <c r="H15" s="191" t="str" cm="1">
        <f t="array" aca="1" ref="H15:I15" ca="1">'Term-14'!H2:I2</f>
        <v>0 Days</v>
      </c>
      <c r="I15" s="192">
        <f ca="1"/>
        <v>0</v>
      </c>
      <c r="J15" s="193">
        <f>'Term-14'!$F$31</f>
        <v>0</v>
      </c>
      <c r="K15" s="193">
        <f>'Term-14'!$F$40</f>
        <v>0</v>
      </c>
      <c r="L15" s="194" t="e">
        <f>'Term-14'!$F$41</f>
        <v>#DIV/0!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82"/>
      <c r="K16" s="104"/>
      <c r="L16" s="183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82"/>
      <c r="K17" s="104"/>
      <c r="L17" s="183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82"/>
      <c r="K18" s="104"/>
      <c r="L18" s="183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82"/>
      <c r="K19" s="104"/>
      <c r="L19" s="183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82"/>
      <c r="K20" s="104"/>
      <c r="L20" s="183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82"/>
      <c r="K21" s="104"/>
      <c r="L21" s="183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82"/>
      <c r="K22" s="104"/>
      <c r="L22" s="183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82"/>
      <c r="K23" s="104"/>
      <c r="L23" s="183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82"/>
      <c r="K24" s="104"/>
      <c r="L24" s="183"/>
    </row>
    <row r="25" spans="1:12" x14ac:dyDescent="0.3">
      <c r="A25" s="172" t="s">
        <v>103</v>
      </c>
      <c r="B25" s="173"/>
      <c r="C25" s="174"/>
      <c r="D25" s="9">
        <f>SUM(D2:D24)</f>
        <v>4241715.4000000004</v>
      </c>
      <c r="E25" s="87">
        <f>SUM(E2:E24)</f>
        <v>21118306.399999999</v>
      </c>
      <c r="F25" s="87">
        <f>SUM(F2:F24)</f>
        <v>16876591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188625.89999999991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4241715.4000000004</v>
      </c>
    </row>
  </sheetData>
  <mergeCells count="1">
    <mergeCell ref="A25:C25"/>
  </mergeCells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178" t="s">
        <v>118</v>
      </c>
      <c r="B1" s="178"/>
      <c r="C1" s="178"/>
      <c r="D1" s="178"/>
      <c r="E1" s="179"/>
      <c r="F1" s="175" t="str">
        <f ca="1">DATEDIF(L1,TODAY(),"y")&amp;" year, "&amp;DATEDIF(L1,TODAY(),"ym")&amp;" months, "&amp;TODAY()-DATE(YEAR(TODAY()),MONTH(TODAY()),1)&amp;" days"</f>
        <v>3 year, 3 months, 18 days</v>
      </c>
      <c r="G1" s="176"/>
      <c r="H1" s="176"/>
      <c r="I1" s="176"/>
      <c r="J1" s="177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295</v>
      </c>
      <c r="C6" s="104" t="s">
        <v>294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List</vt:lpstr>
      <vt:lpstr>Summary Graph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2026-07-19T06:32:26Z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