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codeName="ThisWorkbook" defaultThemeVersion="124226"/>
  <xr:revisionPtr revIDLastSave="0" documentId="13_ncr:1_{91B45D98-8A74-498D-8E56-8552AB941609}" xr6:coauthVersionLast="47" xr6:coauthVersionMax="47" xr10:uidLastSave="{00000000-0000-0000-0000-000000000000}"/>
  <bookViews>
    <workbookView xWindow="-108" yWindow="-108" windowWidth="23256" windowHeight="12456" tabRatio="706" firstSheet="9" activeTab="13" xr2:uid="{00000000-000D-0000-FFFF-FFFF00000000}"/>
  </bookViews>
  <sheets>
    <sheet name="Term-1" sheetId="4" r:id="rId1"/>
    <sheet name="Term-2" sheetId="6" r:id="rId2"/>
    <sheet name="Term-3" sheetId="9" r:id="rId3"/>
    <sheet name="Term-4" sheetId="7" r:id="rId4"/>
    <sheet name="Term-5" sheetId="10" r:id="rId5"/>
    <sheet name="Term-6" sheetId="11" r:id="rId6"/>
    <sheet name="Term-7" sheetId="13" r:id="rId7"/>
    <sheet name="Term-8" sheetId="15" r:id="rId8"/>
    <sheet name="Term-9" sheetId="16" r:id="rId9"/>
    <sheet name="Term-10" sheetId="17" r:id="rId10"/>
    <sheet name="Term-11" sheetId="18" r:id="rId11"/>
    <sheet name="Term-12" sheetId="19" r:id="rId12"/>
    <sheet name="Term-13" sheetId="20" r:id="rId13"/>
    <sheet name="Term-14" sheetId="21" r:id="rId14"/>
    <sheet name="Term-15" sheetId="23" r:id="rId15"/>
    <sheet name="List" sheetId="12" r:id="rId16"/>
    <sheet name="Summary Graph" sheetId="22" r:id="rId17"/>
    <sheet name="Notes" sheetId="14" r:id="rId18"/>
  </sheets>
  <definedNames>
    <definedName name="_xlnm._FilterDatabase" localSheetId="15" hidden="1">List!$B$1:$L$1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2" l="1"/>
  <c r="L16" i="12"/>
  <c r="K16" i="12"/>
  <c r="J16" i="12"/>
  <c r="H16" i="12" a="1"/>
  <c r="H16" i="12" s="1"/>
  <c r="F16" i="12"/>
  <c r="E16" i="12"/>
  <c r="B16" i="12"/>
  <c r="B15" i="12"/>
  <c r="F31" i="23"/>
  <c r="H15" i="12" a="1"/>
  <c r="H15" i="12" s="1"/>
  <c r="F44" i="23"/>
  <c r="H44" i="23" s="1"/>
  <c r="F43" i="23"/>
  <c r="H43" i="23" s="1"/>
  <c r="H45" i="23" s="1"/>
  <c r="M40" i="23"/>
  <c r="H40" i="23"/>
  <c r="J39" i="23"/>
  <c r="F39" i="23"/>
  <c r="J38" i="23"/>
  <c r="F38" i="23"/>
  <c r="J37" i="23"/>
  <c r="F37" i="23"/>
  <c r="J36" i="23"/>
  <c r="F36" i="23"/>
  <c r="J35" i="23"/>
  <c r="F35" i="23"/>
  <c r="J34" i="23"/>
  <c r="F34" i="23"/>
  <c r="J33" i="23"/>
  <c r="F33" i="23"/>
  <c r="F40" i="23" s="1"/>
  <c r="I25" i="23"/>
  <c r="I24" i="23"/>
  <c r="I23" i="23"/>
  <c r="I22" i="23"/>
  <c r="I21" i="23"/>
  <c r="I20" i="23"/>
  <c r="I19" i="23"/>
  <c r="H16" i="23"/>
  <c r="I13" i="23"/>
  <c r="I12" i="23"/>
  <c r="I11" i="23"/>
  <c r="I10" i="23"/>
  <c r="I9" i="23"/>
  <c r="I8" i="23"/>
  <c r="I7" i="23"/>
  <c r="I6" i="23"/>
  <c r="I5" i="23"/>
  <c r="M2" i="23"/>
  <c r="H2" i="23"/>
  <c r="E2" i="23"/>
  <c r="F34" i="7"/>
  <c r="F35" i="7"/>
  <c r="F36" i="7"/>
  <c r="F37" i="7"/>
  <c r="F39" i="7"/>
  <c r="F33" i="7"/>
  <c r="F34" i="9"/>
  <c r="F40" i="9" s="1"/>
  <c r="F41" i="9" s="1"/>
  <c r="L4" i="12" s="1"/>
  <c r="F35" i="9"/>
  <c r="F36" i="9"/>
  <c r="F37" i="9"/>
  <c r="F38" i="9"/>
  <c r="F39" i="9"/>
  <c r="F33" i="9"/>
  <c r="F33" i="6"/>
  <c r="F34" i="4"/>
  <c r="F35" i="4"/>
  <c r="F36" i="4"/>
  <c r="F37" i="4"/>
  <c r="F38" i="4"/>
  <c r="F39" i="4"/>
  <c r="F33" i="4"/>
  <c r="L7" i="12"/>
  <c r="K7" i="12"/>
  <c r="L13" i="12"/>
  <c r="L12" i="12"/>
  <c r="L11" i="12"/>
  <c r="L10" i="12"/>
  <c r="L9" i="12"/>
  <c r="L8" i="12"/>
  <c r="L6" i="12"/>
  <c r="K13" i="12"/>
  <c r="K12" i="12"/>
  <c r="K11" i="12"/>
  <c r="K10" i="12"/>
  <c r="J14" i="12"/>
  <c r="J13" i="12"/>
  <c r="J12" i="12"/>
  <c r="J11" i="12"/>
  <c r="J10" i="12"/>
  <c r="J9" i="12"/>
  <c r="J8" i="12"/>
  <c r="J7" i="12"/>
  <c r="J6" i="12"/>
  <c r="J5" i="12"/>
  <c r="J4" i="12"/>
  <c r="J3" i="12"/>
  <c r="J2" i="12"/>
  <c r="M41" i="4"/>
  <c r="H40" i="4"/>
  <c r="J39" i="4"/>
  <c r="J38" i="4"/>
  <c r="J37" i="4"/>
  <c r="J36" i="4"/>
  <c r="J35" i="4"/>
  <c r="J34" i="4"/>
  <c r="J33" i="4"/>
  <c r="M41" i="6"/>
  <c r="H40" i="6"/>
  <c r="J39" i="6"/>
  <c r="J38" i="6"/>
  <c r="J37" i="6"/>
  <c r="J36" i="6"/>
  <c r="J35" i="6"/>
  <c r="J34" i="6"/>
  <c r="J33" i="6"/>
  <c r="M41" i="9"/>
  <c r="H40" i="9"/>
  <c r="J39" i="9"/>
  <c r="J38" i="9"/>
  <c r="J37" i="9"/>
  <c r="J36" i="9"/>
  <c r="J35" i="9"/>
  <c r="J34" i="9"/>
  <c r="J33" i="9"/>
  <c r="H2" i="12" a="1"/>
  <c r="H2" i="12" s="1"/>
  <c r="F1" i="22"/>
  <c r="G15" i="12"/>
  <c r="F44" i="21"/>
  <c r="H44" i="21" s="1"/>
  <c r="M40" i="21"/>
  <c r="H40" i="21"/>
  <c r="J39" i="21"/>
  <c r="F39" i="21"/>
  <c r="J38" i="21"/>
  <c r="F38" i="21"/>
  <c r="J37" i="21"/>
  <c r="F37" i="21"/>
  <c r="J36" i="21"/>
  <c r="F36" i="21"/>
  <c r="J35" i="21"/>
  <c r="F35" i="21"/>
  <c r="J34" i="21"/>
  <c r="F34" i="21"/>
  <c r="J33" i="21"/>
  <c r="F33" i="21"/>
  <c r="F31" i="21"/>
  <c r="J15" i="12" s="1"/>
  <c r="I25" i="21"/>
  <c r="I24" i="21"/>
  <c r="I23" i="21"/>
  <c r="I22" i="21"/>
  <c r="I21" i="21"/>
  <c r="I20" i="21"/>
  <c r="I19" i="21"/>
  <c r="I13" i="21"/>
  <c r="I12" i="21"/>
  <c r="I11" i="21"/>
  <c r="I10" i="21"/>
  <c r="I9" i="21"/>
  <c r="I8" i="21"/>
  <c r="I7" i="21"/>
  <c r="I6" i="21"/>
  <c r="I5" i="21"/>
  <c r="M2" i="21"/>
  <c r="E15" i="12" s="1"/>
  <c r="E2" i="21"/>
  <c r="C31" i="12"/>
  <c r="B13" i="12"/>
  <c r="C32" i="12"/>
  <c r="C30" i="12"/>
  <c r="G14" i="12"/>
  <c r="B14" i="12"/>
  <c r="E2" i="19"/>
  <c r="F13" i="12" s="1"/>
  <c r="H13" i="12" a="1"/>
  <c r="H13" i="12" s="1"/>
  <c r="F44" i="20"/>
  <c r="H44" i="20" s="1"/>
  <c r="M40" i="20"/>
  <c r="H40" i="20"/>
  <c r="J39" i="20"/>
  <c r="F39" i="20"/>
  <c r="J38" i="20"/>
  <c r="F38" i="20"/>
  <c r="J37" i="20"/>
  <c r="F37" i="20"/>
  <c r="J36" i="20"/>
  <c r="F36" i="20"/>
  <c r="J35" i="20"/>
  <c r="F35" i="20"/>
  <c r="J34" i="20"/>
  <c r="F34" i="20"/>
  <c r="J33" i="20"/>
  <c r="F33" i="20"/>
  <c r="F31" i="20"/>
  <c r="I25" i="20"/>
  <c r="I24" i="20"/>
  <c r="I23" i="20"/>
  <c r="I22" i="20"/>
  <c r="I21" i="20"/>
  <c r="I20" i="20"/>
  <c r="I19" i="20"/>
  <c r="I13" i="20"/>
  <c r="I12" i="20"/>
  <c r="I11" i="20"/>
  <c r="I10" i="20"/>
  <c r="I9" i="20"/>
  <c r="I8" i="20"/>
  <c r="I7" i="20"/>
  <c r="I6" i="20"/>
  <c r="I5" i="20"/>
  <c r="M2" i="20"/>
  <c r="E14" i="12" s="1"/>
  <c r="H14" i="12" a="1"/>
  <c r="H14" i="12" s="1"/>
  <c r="E2" i="20"/>
  <c r="F14" i="12" s="1"/>
  <c r="J36" i="19"/>
  <c r="I20" i="10"/>
  <c r="I21" i="10"/>
  <c r="I22" i="10"/>
  <c r="I19" i="10"/>
  <c r="I6" i="10"/>
  <c r="I5" i="10"/>
  <c r="I20" i="7"/>
  <c r="I19" i="7"/>
  <c r="I17" i="9"/>
  <c r="I5" i="9"/>
  <c r="I18" i="4"/>
  <c r="I19" i="4"/>
  <c r="I20" i="4"/>
  <c r="I17" i="4"/>
  <c r="I6" i="4"/>
  <c r="I7" i="4"/>
  <c r="I8" i="4"/>
  <c r="I5" i="4"/>
  <c r="I17" i="6"/>
  <c r="I5" i="6"/>
  <c r="I6" i="7"/>
  <c r="I7" i="7"/>
  <c r="I8" i="7"/>
  <c r="I9" i="7"/>
  <c r="I10" i="7"/>
  <c r="I11" i="7"/>
  <c r="I12" i="7"/>
  <c r="I13" i="7"/>
  <c r="I5" i="7"/>
  <c r="I5" i="18"/>
  <c r="G12" i="12"/>
  <c r="F31" i="19"/>
  <c r="G13" i="12"/>
  <c r="F44" i="19"/>
  <c r="H44" i="19" s="1"/>
  <c r="F43" i="19"/>
  <c r="H43" i="19" s="1"/>
  <c r="M40" i="19"/>
  <c r="H40" i="19"/>
  <c r="J39" i="19"/>
  <c r="F39" i="19"/>
  <c r="J38" i="19"/>
  <c r="F38" i="19"/>
  <c r="J37" i="19"/>
  <c r="F37" i="19"/>
  <c r="F36" i="19"/>
  <c r="J35" i="19"/>
  <c r="F35" i="19"/>
  <c r="J34" i="19"/>
  <c r="F34" i="19"/>
  <c r="J33" i="19"/>
  <c r="F33" i="19"/>
  <c r="I25" i="19"/>
  <c r="I24" i="19"/>
  <c r="I23" i="19"/>
  <c r="I22" i="19"/>
  <c r="I21" i="19"/>
  <c r="I20" i="19"/>
  <c r="I19" i="19"/>
  <c r="I13" i="19"/>
  <c r="I12" i="19"/>
  <c r="I11" i="19"/>
  <c r="I10" i="19"/>
  <c r="I9" i="19"/>
  <c r="I8" i="19"/>
  <c r="I7" i="19"/>
  <c r="I6" i="19"/>
  <c r="I5" i="19"/>
  <c r="M2" i="19"/>
  <c r="E13" i="12" s="1"/>
  <c r="G2" i="12"/>
  <c r="G11" i="12"/>
  <c r="G10" i="12"/>
  <c r="G9" i="12"/>
  <c r="G8" i="12"/>
  <c r="G7" i="12"/>
  <c r="G6" i="12"/>
  <c r="G5" i="12"/>
  <c r="G4" i="12"/>
  <c r="G3" i="12"/>
  <c r="H11" i="12" a="1"/>
  <c r="H10" i="12" a="1"/>
  <c r="H9" i="12" a="1"/>
  <c r="H8" i="12" a="1"/>
  <c r="H7" i="12" a="1"/>
  <c r="H6" i="12" a="1"/>
  <c r="H5" i="12" a="1"/>
  <c r="H4" i="12" a="1"/>
  <c r="H3" i="12" a="1"/>
  <c r="B12" i="12"/>
  <c r="C29" i="12"/>
  <c r="F44" i="18"/>
  <c r="H44" i="18" s="1"/>
  <c r="F43" i="18"/>
  <c r="H43" i="18" s="1"/>
  <c r="M40" i="18"/>
  <c r="H40" i="18"/>
  <c r="J39" i="18"/>
  <c r="F39" i="18"/>
  <c r="J38" i="18"/>
  <c r="F38" i="18"/>
  <c r="J37" i="18"/>
  <c r="F37" i="18"/>
  <c r="J36" i="18"/>
  <c r="F36" i="18"/>
  <c r="J35" i="18"/>
  <c r="F35" i="18"/>
  <c r="J34" i="18"/>
  <c r="F34" i="18"/>
  <c r="J33" i="18"/>
  <c r="F33" i="18"/>
  <c r="I25" i="18"/>
  <c r="I24" i="18"/>
  <c r="I23" i="18"/>
  <c r="I22" i="18"/>
  <c r="I21" i="18"/>
  <c r="I20" i="18"/>
  <c r="I19" i="18"/>
  <c r="I13" i="18"/>
  <c r="I12" i="18"/>
  <c r="I11" i="18"/>
  <c r="I10" i="18"/>
  <c r="I9" i="18"/>
  <c r="I8" i="18"/>
  <c r="I7" i="18"/>
  <c r="I6" i="18"/>
  <c r="M2" i="18"/>
  <c r="E12" i="12" s="1"/>
  <c r="H12" i="12" a="1"/>
  <c r="E2" i="18"/>
  <c r="M2" i="17"/>
  <c r="E11" i="12" s="1"/>
  <c r="F44" i="17"/>
  <c r="H44" i="17" s="1"/>
  <c r="B11" i="12"/>
  <c r="I26" i="16"/>
  <c r="F43" i="16"/>
  <c r="H43" i="16" s="1"/>
  <c r="I5" i="17"/>
  <c r="I6" i="17"/>
  <c r="I7" i="17"/>
  <c r="I8" i="17"/>
  <c r="I9" i="17"/>
  <c r="I10" i="17"/>
  <c r="F43" i="17"/>
  <c r="H43" i="17" s="1"/>
  <c r="M40" i="17"/>
  <c r="H40" i="17"/>
  <c r="J39" i="17"/>
  <c r="F39" i="17"/>
  <c r="J38" i="17"/>
  <c r="F38" i="17"/>
  <c r="J37" i="17"/>
  <c r="F37" i="17"/>
  <c r="J36" i="17"/>
  <c r="F36" i="17"/>
  <c r="J35" i="17"/>
  <c r="F35" i="17"/>
  <c r="J34" i="17"/>
  <c r="F34" i="17"/>
  <c r="J33" i="17"/>
  <c r="F33" i="17"/>
  <c r="I25" i="17"/>
  <c r="I24" i="17"/>
  <c r="I23" i="17"/>
  <c r="I22" i="17"/>
  <c r="I21" i="17"/>
  <c r="I20" i="17"/>
  <c r="I19" i="17"/>
  <c r="I13" i="17"/>
  <c r="I12" i="17"/>
  <c r="I11" i="17"/>
  <c r="E2" i="17"/>
  <c r="F11" i="12" s="1"/>
  <c r="B10" i="12"/>
  <c r="B9" i="12"/>
  <c r="B8" i="12"/>
  <c r="B7" i="12"/>
  <c r="B6" i="12"/>
  <c r="B5" i="12"/>
  <c r="B4" i="12"/>
  <c r="B3" i="12"/>
  <c r="B2" i="12"/>
  <c r="M40" i="16"/>
  <c r="H40" i="16"/>
  <c r="J39" i="16"/>
  <c r="F39" i="16"/>
  <c r="J38" i="16"/>
  <c r="F38" i="16"/>
  <c r="J37" i="16"/>
  <c r="F37" i="16"/>
  <c r="J36" i="16"/>
  <c r="F36" i="16"/>
  <c r="J35" i="16"/>
  <c r="F35" i="16"/>
  <c r="J34" i="16"/>
  <c r="F34" i="16"/>
  <c r="J33" i="16"/>
  <c r="F33" i="16"/>
  <c r="I25" i="16"/>
  <c r="I24" i="16"/>
  <c r="I23" i="16"/>
  <c r="I22" i="16"/>
  <c r="I21" i="16"/>
  <c r="I20" i="16"/>
  <c r="I19" i="16"/>
  <c r="I13" i="16"/>
  <c r="I12" i="16"/>
  <c r="I11" i="16"/>
  <c r="I10" i="16"/>
  <c r="I9" i="16"/>
  <c r="I8" i="16"/>
  <c r="I7" i="16"/>
  <c r="I6" i="16"/>
  <c r="I5" i="16"/>
  <c r="M2" i="16"/>
  <c r="E2" i="16"/>
  <c r="F10" i="12" s="1"/>
  <c r="F35" i="15"/>
  <c r="F43" i="15"/>
  <c r="G43" i="15" s="1"/>
  <c r="M40" i="15"/>
  <c r="H40" i="15"/>
  <c r="J39" i="15"/>
  <c r="F39" i="15"/>
  <c r="J38" i="15"/>
  <c r="F38" i="15"/>
  <c r="J37" i="15"/>
  <c r="J36" i="15"/>
  <c r="F36" i="15"/>
  <c r="J35" i="15"/>
  <c r="J34" i="15"/>
  <c r="F34" i="15"/>
  <c r="J33" i="15"/>
  <c r="F33" i="15"/>
  <c r="I25" i="15"/>
  <c r="I24" i="15"/>
  <c r="I23" i="15"/>
  <c r="I22" i="15"/>
  <c r="I21" i="15"/>
  <c r="I20" i="15"/>
  <c r="I19" i="15"/>
  <c r="I13" i="15"/>
  <c r="I12" i="15"/>
  <c r="I11" i="15"/>
  <c r="I10" i="15"/>
  <c r="I9" i="15"/>
  <c r="I8" i="15"/>
  <c r="I7" i="15"/>
  <c r="I6" i="15"/>
  <c r="I5" i="15"/>
  <c r="M2" i="15"/>
  <c r="E9" i="12" s="1"/>
  <c r="E2" i="15"/>
  <c r="F9" i="12" s="1"/>
  <c r="I20" i="13"/>
  <c r="I21" i="13"/>
  <c r="I22" i="13"/>
  <c r="I23" i="13"/>
  <c r="I24" i="13"/>
  <c r="I25" i="13"/>
  <c r="I19" i="13"/>
  <c r="I6" i="13"/>
  <c r="I7" i="13"/>
  <c r="I8" i="13"/>
  <c r="I9" i="13"/>
  <c r="I10" i="13"/>
  <c r="I11" i="13"/>
  <c r="I12" i="13"/>
  <c r="I13" i="13"/>
  <c r="I5" i="13"/>
  <c r="M55" i="11"/>
  <c r="M40" i="11"/>
  <c r="G47" i="13"/>
  <c r="K45" i="13" s="1"/>
  <c r="F36" i="11"/>
  <c r="I24" i="11"/>
  <c r="I25" i="11"/>
  <c r="I26" i="11"/>
  <c r="D16" i="12" l="1"/>
  <c r="F41" i="23"/>
  <c r="J40" i="21"/>
  <c r="M41" i="21" s="1"/>
  <c r="J40" i="23"/>
  <c r="M41" i="23" s="1"/>
  <c r="K1" i="23"/>
  <c r="K1" i="21"/>
  <c r="F40" i="21"/>
  <c r="K15" i="12" s="1"/>
  <c r="F15" i="12"/>
  <c r="D15" i="12" s="1"/>
  <c r="F40" i="6"/>
  <c r="J40" i="6"/>
  <c r="M42" i="6" s="1"/>
  <c r="D9" i="12"/>
  <c r="K4" i="12"/>
  <c r="J40" i="9"/>
  <c r="M42" i="9" s="1"/>
  <c r="F40" i="4"/>
  <c r="J40" i="4"/>
  <c r="M42" i="4" s="1"/>
  <c r="C35" i="12"/>
  <c r="D14" i="12"/>
  <c r="F40" i="18"/>
  <c r="F41" i="18" s="1"/>
  <c r="J40" i="18"/>
  <c r="J40" i="20"/>
  <c r="M41" i="20" s="1"/>
  <c r="F40" i="20"/>
  <c r="K1" i="20"/>
  <c r="F40" i="19"/>
  <c r="F41" i="19" s="1"/>
  <c r="J40" i="19"/>
  <c r="M41" i="19" s="1"/>
  <c r="H45" i="19"/>
  <c r="M41" i="18"/>
  <c r="D13" i="12"/>
  <c r="K1" i="19"/>
  <c r="K1" i="18"/>
  <c r="F12" i="12"/>
  <c r="D12" i="12" s="1"/>
  <c r="H11" i="12"/>
  <c r="H10" i="12"/>
  <c r="H9" i="12"/>
  <c r="H8" i="12"/>
  <c r="H7" i="12"/>
  <c r="H6" i="12"/>
  <c r="H5" i="12"/>
  <c r="H4" i="12"/>
  <c r="H3" i="12"/>
  <c r="H12" i="12"/>
  <c r="H45" i="18"/>
  <c r="H45" i="17"/>
  <c r="D11" i="12"/>
  <c r="J40" i="17"/>
  <c r="M41" i="17" s="1"/>
  <c r="F40" i="17"/>
  <c r="F41" i="17" s="1"/>
  <c r="K1" i="17"/>
  <c r="J40" i="16"/>
  <c r="M41" i="16" s="1"/>
  <c r="F40" i="16"/>
  <c r="F41" i="16" s="1"/>
  <c r="K1" i="16"/>
  <c r="E10" i="12"/>
  <c r="D10" i="12" s="1"/>
  <c r="J40" i="15"/>
  <c r="M41" i="15" s="1"/>
  <c r="K1" i="15"/>
  <c r="F40" i="15"/>
  <c r="G49" i="13"/>
  <c r="G48" i="13"/>
  <c r="F41" i="21" l="1"/>
  <c r="L15" i="12" s="1"/>
  <c r="F43" i="21"/>
  <c r="H43" i="21" s="1"/>
  <c r="H45" i="21" s="1"/>
  <c r="D43" i="20"/>
  <c r="F43" i="20" s="1"/>
  <c r="H43" i="20" s="1"/>
  <c r="H45" i="20" s="1"/>
  <c r="K14" i="12"/>
  <c r="F41" i="6"/>
  <c r="L3" i="12" s="1"/>
  <c r="K3" i="12"/>
  <c r="F41" i="4"/>
  <c r="K2" i="12"/>
  <c r="F41" i="15"/>
  <c r="K9" i="12"/>
  <c r="F41" i="20"/>
  <c r="L14" i="12" s="1"/>
  <c r="D32" i="12"/>
  <c r="M40" i="13"/>
  <c r="H40" i="13"/>
  <c r="J39" i="13"/>
  <c r="F39" i="13"/>
  <c r="J38" i="13"/>
  <c r="F38" i="13"/>
  <c r="J37" i="13"/>
  <c r="F37" i="13"/>
  <c r="J36" i="13"/>
  <c r="F36" i="13"/>
  <c r="J35" i="13"/>
  <c r="F35" i="13"/>
  <c r="J34" i="13"/>
  <c r="F34" i="13"/>
  <c r="J33" i="13"/>
  <c r="F33" i="13"/>
  <c r="M2" i="13"/>
  <c r="E8" i="12" s="1"/>
  <c r="E2" i="13"/>
  <c r="F8" i="12" s="1"/>
  <c r="I20" i="11"/>
  <c r="I21" i="11"/>
  <c r="I22" i="11"/>
  <c r="I23" i="11"/>
  <c r="I19" i="11"/>
  <c r="I6" i="11"/>
  <c r="I7" i="11"/>
  <c r="I8" i="11"/>
  <c r="I9" i="11"/>
  <c r="I10" i="11"/>
  <c r="I11" i="11"/>
  <c r="I12" i="11"/>
  <c r="I13" i="11"/>
  <c r="I5" i="11"/>
  <c r="G43" i="11"/>
  <c r="H43" i="11" s="1"/>
  <c r="E6" i="12"/>
  <c r="M41" i="10"/>
  <c r="H40" i="11"/>
  <c r="J39" i="11"/>
  <c r="F39" i="11"/>
  <c r="J38" i="11"/>
  <c r="F38" i="11"/>
  <c r="J37" i="11"/>
  <c r="F37" i="11"/>
  <c r="J36" i="11"/>
  <c r="J35" i="11"/>
  <c r="F35" i="11"/>
  <c r="J34" i="11"/>
  <c r="F34" i="11"/>
  <c r="J33" i="11"/>
  <c r="F33" i="11"/>
  <c r="M2" i="11"/>
  <c r="E7" i="12" s="1"/>
  <c r="E2" i="11"/>
  <c r="F7" i="12" s="1"/>
  <c r="F34" i="10"/>
  <c r="F35" i="10"/>
  <c r="F36" i="10"/>
  <c r="F37" i="10"/>
  <c r="F38" i="10"/>
  <c r="F39" i="10"/>
  <c r="F33" i="10"/>
  <c r="M41" i="7"/>
  <c r="H40" i="10"/>
  <c r="J39" i="10"/>
  <c r="J38" i="10"/>
  <c r="J37" i="10"/>
  <c r="J36" i="10"/>
  <c r="J35" i="10"/>
  <c r="J34" i="10"/>
  <c r="J33" i="10"/>
  <c r="I13" i="10"/>
  <c r="I12" i="10"/>
  <c r="I11" i="10"/>
  <c r="I10" i="10"/>
  <c r="I9" i="10"/>
  <c r="I8" i="10"/>
  <c r="I7" i="10"/>
  <c r="M2" i="10"/>
  <c r="E2" i="10"/>
  <c r="F6" i="12" s="1"/>
  <c r="I21" i="9"/>
  <c r="I20" i="9"/>
  <c r="I19" i="9"/>
  <c r="I18" i="9"/>
  <c r="I10" i="9"/>
  <c r="I9" i="9"/>
  <c r="I8" i="9"/>
  <c r="I7" i="9"/>
  <c r="I6" i="9"/>
  <c r="M2" i="9"/>
  <c r="E4" i="12" s="1"/>
  <c r="E2" i="9"/>
  <c r="F4" i="12" s="1"/>
  <c r="J38" i="7"/>
  <c r="J39" i="7"/>
  <c r="D7" i="12" l="1"/>
  <c r="L2" i="12"/>
  <c r="D6" i="12"/>
  <c r="D4" i="12"/>
  <c r="D8" i="12"/>
  <c r="D31" i="12" s="1"/>
  <c r="J40" i="13"/>
  <c r="M41" i="13" s="1"/>
  <c r="F40" i="13"/>
  <c r="K1" i="13"/>
  <c r="J40" i="11"/>
  <c r="M41" i="11" s="1"/>
  <c r="F40" i="11"/>
  <c r="F41" i="11" s="1"/>
  <c r="K1" i="9"/>
  <c r="K1" i="11"/>
  <c r="F40" i="10"/>
  <c r="J40" i="10"/>
  <c r="K1" i="10"/>
  <c r="H40" i="7"/>
  <c r="J34" i="7"/>
  <c r="J35" i="7"/>
  <c r="J36" i="7"/>
  <c r="J37" i="7"/>
  <c r="J33" i="7"/>
  <c r="I22" i="7"/>
  <c r="I21" i="7"/>
  <c r="M2" i="7"/>
  <c r="E5" i="12" s="1"/>
  <c r="E2" i="7"/>
  <c r="F5" i="12" s="1"/>
  <c r="I22" i="4"/>
  <c r="I18" i="6"/>
  <c r="I19" i="6"/>
  <c r="I20" i="6"/>
  <c r="I21" i="6"/>
  <c r="I6" i="6"/>
  <c r="I7" i="6"/>
  <c r="I8" i="6"/>
  <c r="I9" i="6"/>
  <c r="I10" i="6"/>
  <c r="M2" i="6"/>
  <c r="E3" i="12" s="1"/>
  <c r="E2" i="6"/>
  <c r="F3" i="12" s="1"/>
  <c r="E2" i="4"/>
  <c r="F2" i="12" s="1"/>
  <c r="M2" i="4"/>
  <c r="E2" i="12" s="1"/>
  <c r="D5" i="12" l="1"/>
  <c r="D3" i="12"/>
  <c r="D2" i="12"/>
  <c r="D29" i="12" s="1"/>
  <c r="F41" i="10"/>
  <c r="K6" i="12"/>
  <c r="F41" i="13"/>
  <c r="K8" i="12"/>
  <c r="E25" i="12"/>
  <c r="D30" i="12"/>
  <c r="K1" i="6"/>
  <c r="F25" i="12"/>
  <c r="L42" i="10"/>
  <c r="J40" i="7"/>
  <c r="M42" i="7" s="1"/>
  <c r="F40" i="7"/>
  <c r="K1" i="7"/>
  <c r="K1" i="4"/>
  <c r="D25" i="12" l="1"/>
  <c r="F41" i="7"/>
  <c r="L5" i="12" s="1"/>
  <c r="K5" i="12"/>
  <c r="D35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<sst xmlns="http://schemas.openxmlformats.org/spreadsheetml/2006/main" count="1066" uniqueCount="320">
  <si>
    <t>#</t>
  </si>
  <si>
    <t>Item</t>
  </si>
  <si>
    <t>Details</t>
  </si>
  <si>
    <t>Date</t>
  </si>
  <si>
    <t>Bhoomi Magatha</t>
  </si>
  <si>
    <t>5x80K</t>
  </si>
  <si>
    <t>SubMercible Motors</t>
  </si>
  <si>
    <t>2 motors</t>
  </si>
  <si>
    <t>MonoBlock Motors</t>
  </si>
  <si>
    <t>2 motors and Kirayi</t>
  </si>
  <si>
    <t>Saman from Korukollu</t>
  </si>
  <si>
    <t>Change Over Board Saman</t>
  </si>
  <si>
    <t>Electric saman &amp; Plywood from Nouduru</t>
  </si>
  <si>
    <t>Amount</t>
  </si>
  <si>
    <t>Total :</t>
  </si>
  <si>
    <t>Profit</t>
  </si>
  <si>
    <t>Leggalu Work</t>
  </si>
  <si>
    <t>New Fan Sets (6)</t>
  </si>
  <si>
    <t>6x33000</t>
  </si>
  <si>
    <t>Seed</t>
  </si>
  <si>
    <t>5 Lakhs</t>
  </si>
  <si>
    <t>Kirayi</t>
  </si>
  <si>
    <t>Kirayi+Beta</t>
  </si>
  <si>
    <t>Boat, Shed, Wire,Fans</t>
  </si>
  <si>
    <t>Old wire, Old Fans (4)</t>
  </si>
  <si>
    <t>Seed Date</t>
  </si>
  <si>
    <t>Count</t>
  </si>
  <si>
    <t>meta Bastalu - 20</t>
  </si>
  <si>
    <t>20x2140 + 50 + 200</t>
  </si>
  <si>
    <t>Current Bill</t>
  </si>
  <si>
    <t>To BVRM Gpay-AAO/ERO/APEPDCL</t>
  </si>
  <si>
    <t>Assam Boy Salary</t>
  </si>
  <si>
    <t>Days</t>
  </si>
  <si>
    <t>Growth</t>
  </si>
  <si>
    <t>Metha Bastalu - 20</t>
  </si>
  <si>
    <t>20x2140</t>
  </si>
  <si>
    <t>Investment</t>
  </si>
  <si>
    <t>Income</t>
  </si>
  <si>
    <t>Gpay from Venky Mobile</t>
  </si>
  <si>
    <t>Pedda Cheruvu - 4000</t>
  </si>
  <si>
    <t>4K, 80 count, 225 price</t>
  </si>
  <si>
    <t>Chinna Cheruvu</t>
  </si>
  <si>
    <t>Cheruvu Pattina Karchu</t>
  </si>
  <si>
    <t>Seed Kirayi</t>
  </si>
  <si>
    <t>Metha</t>
  </si>
  <si>
    <t>6Lx0.30</t>
  </si>
  <si>
    <t>Chinna Cheruvu - 1.2</t>
  </si>
  <si>
    <t>1285kg</t>
  </si>
  <si>
    <t>Total Metha Karchu ( Aruvu)</t>
  </si>
  <si>
    <t>Medicine</t>
  </si>
  <si>
    <t>New Fan Sets (3)</t>
  </si>
  <si>
    <t>3*32000</t>
  </si>
  <si>
    <t>2x15000</t>
  </si>
  <si>
    <t>CurrentBill</t>
  </si>
  <si>
    <t>Number</t>
  </si>
  <si>
    <t>1st Middle</t>
  </si>
  <si>
    <t>2nd Middle</t>
  </si>
  <si>
    <t>Small Tank</t>
  </si>
  <si>
    <t>Final</t>
  </si>
  <si>
    <t>Chinna Tank-937T-270 Count-60</t>
  </si>
  <si>
    <t>Feed</t>
  </si>
  <si>
    <t>Total:</t>
  </si>
  <si>
    <t>Trip</t>
  </si>
  <si>
    <t>Price</t>
  </si>
  <si>
    <t>Total</t>
  </si>
  <si>
    <t>Total Seed:</t>
  </si>
  <si>
    <t>Final-3740 tones-275 count 60</t>
  </si>
  <si>
    <t>Seed &amp; Others</t>
  </si>
  <si>
    <t>Lease</t>
  </si>
  <si>
    <t>Cash</t>
  </si>
  <si>
    <t>Balance</t>
  </si>
  <si>
    <t>Feed-30 bags</t>
  </si>
  <si>
    <t>Cheruvu Pani</t>
  </si>
  <si>
    <t>Others</t>
  </si>
  <si>
    <t>Van Kirayi</t>
  </si>
  <si>
    <t>Big Tank - Full</t>
  </si>
  <si>
    <t>Big Tank-5389.8 kgs-249 rate - count 111</t>
  </si>
  <si>
    <t>Big Tank Bill</t>
  </si>
  <si>
    <t>Mogallu Feed Bills</t>
  </si>
  <si>
    <t>Feed + Medicine</t>
  </si>
  <si>
    <t>Mogallu Feed Shop</t>
  </si>
  <si>
    <t>Aravalli Shop</t>
  </si>
  <si>
    <t>Big Tank - Soft</t>
  </si>
  <si>
    <t>Small Tank - Full</t>
  </si>
  <si>
    <t>Current Bill, Assam Salary etc</t>
  </si>
  <si>
    <t>Small Tank-1068 kg-260 rate-92 count</t>
  </si>
  <si>
    <t>Feed Shop</t>
  </si>
  <si>
    <t>Surya</t>
  </si>
  <si>
    <t xml:space="preserve">Total: </t>
  </si>
  <si>
    <t xml:space="preserve">Balance: </t>
  </si>
  <si>
    <t>Small Tank Seed Date</t>
  </si>
  <si>
    <t>Seed from Anjaneya, Gudur</t>
  </si>
  <si>
    <t>Mogallu Feed Shop-Extra</t>
  </si>
  <si>
    <t>Feed Shop Manchili (-)</t>
  </si>
  <si>
    <t>Surya Calculation:</t>
  </si>
  <si>
    <t>Quantity</t>
  </si>
  <si>
    <t>Term</t>
  </si>
  <si>
    <t>Term-1</t>
  </si>
  <si>
    <t>Term-2</t>
  </si>
  <si>
    <t>Term-3</t>
  </si>
  <si>
    <t>Term-4</t>
  </si>
  <si>
    <t>Term-5</t>
  </si>
  <si>
    <t>Term-6</t>
  </si>
  <si>
    <t>Overall Total:</t>
  </si>
  <si>
    <t>Small Tank Seed</t>
  </si>
  <si>
    <t>total</t>
  </si>
  <si>
    <t>Small Tank Seed Kirayi</t>
  </si>
  <si>
    <t>Danayya Vala</t>
  </si>
  <si>
    <t>Estimation:</t>
  </si>
  <si>
    <t>1st Middle: Tones-2 Rate-270 Count-80</t>
  </si>
  <si>
    <t>1st Middle: Tones-200 Count-107</t>
  </si>
  <si>
    <t>2nd Middle: Tones-230 Count-80</t>
  </si>
  <si>
    <t>3rd Middle: 2164 tones -250 Count-70</t>
  </si>
  <si>
    <t>Big Tank-Final</t>
  </si>
  <si>
    <t>10 tons feed so far</t>
  </si>
  <si>
    <t>Term-7</t>
  </si>
  <si>
    <t>Big Tank Final</t>
  </si>
  <si>
    <t xml:space="preserve">From: </t>
  </si>
  <si>
    <t xml:space="preserve">Total Duration: </t>
  </si>
  <si>
    <t>Big Tank Final: Tones-4619.9 Rate-320 Count-70</t>
  </si>
  <si>
    <t>Ammonia,feed wastage and prawn excreta</t>
  </si>
  <si>
    <t>Reason for Mortality, diseases and vibreo</t>
  </si>
  <si>
    <t>Clean land surface every 1 year</t>
  </si>
  <si>
    <t>Issue</t>
  </si>
  <si>
    <t>Reason</t>
  </si>
  <si>
    <t>Solution</t>
  </si>
  <si>
    <t>Number Found</t>
  </si>
  <si>
    <t>Surya Account</t>
  </si>
  <si>
    <t>Small Tank:Tons-1111.2,Rate-340 count-60</t>
  </si>
  <si>
    <t>Total KM</t>
  </si>
  <si>
    <t>Total Seed</t>
  </si>
  <si>
    <t>Rs./KM</t>
  </si>
  <si>
    <t>Total Kirayi</t>
  </si>
  <si>
    <t>Kalyan</t>
  </si>
  <si>
    <t>Packs</t>
  </si>
  <si>
    <t>Driver Beta</t>
  </si>
  <si>
    <t>Kirayi/1L</t>
  </si>
  <si>
    <t>Ballons</t>
  </si>
  <si>
    <t xml:space="preserve"> </t>
  </si>
  <si>
    <t>Small Tank Feed</t>
  </si>
  <si>
    <t>Ishan Salary</t>
  </si>
  <si>
    <t>Big Tank Vala payment</t>
  </si>
  <si>
    <t>1st middle vala payment</t>
  </si>
  <si>
    <t>Small Tank Final</t>
  </si>
  <si>
    <t>Dad</t>
  </si>
  <si>
    <t>Debts</t>
  </si>
  <si>
    <t>Small Tank Van Kirayi</t>
  </si>
  <si>
    <t>Big Tank Van Kirayi</t>
  </si>
  <si>
    <t>Ishan</t>
  </si>
  <si>
    <t>Big Tank Seed</t>
  </si>
  <si>
    <t>From Pondichery(8L)</t>
  </si>
  <si>
    <t>From Kakinada(1.25L)</t>
  </si>
  <si>
    <t>Middle Expenses</t>
  </si>
  <si>
    <t>1st middle</t>
  </si>
  <si>
    <t>1st Middle: Tones 2149.5-Rs.245 Count-110</t>
  </si>
  <si>
    <t>Term-8</t>
  </si>
  <si>
    <t>From Vizianagaram</t>
  </si>
  <si>
    <t xml:space="preserve">1200*800 </t>
  </si>
  <si>
    <t>Cash Credits</t>
  </si>
  <si>
    <t>750000 - From Gudur</t>
  </si>
  <si>
    <t>Big Tank-Final-5220T-260R-100C</t>
  </si>
  <si>
    <t>Small Tank-600Q-200R-135C</t>
  </si>
  <si>
    <t>Seed for Big Tank</t>
  </si>
  <si>
    <t>Seed for Small Tank</t>
  </si>
  <si>
    <t>100000 - From Gudur</t>
  </si>
  <si>
    <t>1st Middle - 110C-220R-1674T</t>
  </si>
  <si>
    <t>10.5 tons feed so far</t>
  </si>
  <si>
    <t>2nd Middle - 73C-265R-2194.4T</t>
  </si>
  <si>
    <t>Big Tank - Final</t>
  </si>
  <si>
    <t>Reddy Garu - Advance</t>
  </si>
  <si>
    <t>Term-9</t>
  </si>
  <si>
    <t>Big Tank - Final - 67C-280R-2425T</t>
  </si>
  <si>
    <t>Small Tank - Final-100C-220R-787Q</t>
  </si>
  <si>
    <t>Cash Investment</t>
  </si>
  <si>
    <t>Surya Account - 24/05/2025</t>
  </si>
  <si>
    <t>Liquid Cash - 27/05/2025</t>
  </si>
  <si>
    <t>Feed - 10.5 Tons</t>
  </si>
  <si>
    <t>May2023 - Sept2023</t>
  </si>
  <si>
    <t>Sept2023 - Nov2023</t>
  </si>
  <si>
    <t>Nov2023 - Jan2024</t>
  </si>
  <si>
    <t>Feb2024 - May2024</t>
  </si>
  <si>
    <t>July 2024 - Sept2024</t>
  </si>
  <si>
    <t>Sep2024 - Nov2024</t>
  </si>
  <si>
    <t>Dec2024 - Feb2025</t>
  </si>
  <si>
    <t>Feb2025 - May2025</t>
  </si>
  <si>
    <t>July2025 - Sept2025</t>
  </si>
  <si>
    <t>Big Tank:</t>
  </si>
  <si>
    <t>Small Tank:</t>
  </si>
  <si>
    <t>1st Middle - 100C-245R-2171T</t>
  </si>
  <si>
    <t>1st Middle - Big Tank</t>
  </si>
  <si>
    <t>1st Middle - Small Tank</t>
  </si>
  <si>
    <t>2nd Middle - Big Tank</t>
  </si>
  <si>
    <t>2nd Middle - Small Tank</t>
  </si>
  <si>
    <t>2nd Middle - 80C-265R-2854.7T</t>
  </si>
  <si>
    <t>Feed so far 10 tones</t>
  </si>
  <si>
    <t>Final - Big Tank</t>
  </si>
  <si>
    <t>Virus</t>
  </si>
  <si>
    <t>Assam Salary</t>
  </si>
  <si>
    <t>Big Tank-Final - 80C-265R-3548.7T</t>
  </si>
  <si>
    <t>Surya Account - 02-09-2025</t>
  </si>
  <si>
    <t>Estimation :</t>
  </si>
  <si>
    <t>Term-10</t>
  </si>
  <si>
    <t>Cash - 06-09-2025</t>
  </si>
  <si>
    <t>73 days</t>
  </si>
  <si>
    <t>Small Tank-Final-50C-330R-900K</t>
  </si>
  <si>
    <t>Final - Small Tank</t>
  </si>
  <si>
    <t>Cash - 13-09-2025</t>
  </si>
  <si>
    <t>Bend shape 6%</t>
  </si>
  <si>
    <t>Seed Transport</t>
  </si>
  <si>
    <t>Seed - 17-09-2025</t>
  </si>
  <si>
    <t>White Gut</t>
  </si>
  <si>
    <t>Low Feed (black gut) / High Feed</t>
  </si>
  <si>
    <t>Number maintainance</t>
  </si>
  <si>
    <t>Surviwel medicine for first 3 days</t>
  </si>
  <si>
    <t>Every week pro biatic after 40 days</t>
  </si>
  <si>
    <t>Serene medicine - Defender G</t>
  </si>
  <si>
    <t>To increase feed</t>
  </si>
  <si>
    <t>Silver gold nano with probiatic for 3 days</t>
  </si>
  <si>
    <t>Big Tank-1st Middle</t>
  </si>
  <si>
    <t>Big Tank-1st Middle - 90C-240R-2000T</t>
  </si>
  <si>
    <t>Diesel</t>
  </si>
  <si>
    <t>Big Tank- 2nd Middle</t>
  </si>
  <si>
    <t>1068 packets from Kakinada</t>
  </si>
  <si>
    <t>9L seed from Gudur</t>
  </si>
  <si>
    <t>Small Tank - Final</t>
  </si>
  <si>
    <t>Big Tank-2nd Middle - 70C-300R-2000T</t>
  </si>
  <si>
    <t>Term-11</t>
  </si>
  <si>
    <t>Sept2025 - Dec2025</t>
  </si>
  <si>
    <t>Extra Medicine</t>
  </si>
  <si>
    <t>Big Tank-Final - 60C-335R-3392.8T</t>
  </si>
  <si>
    <t>Small Tank-Final-80C-265R-857.1K</t>
  </si>
  <si>
    <t>Feed - 12 Tons so far</t>
  </si>
  <si>
    <t>Surya Account -</t>
  </si>
  <si>
    <t>Small Tank - Extra</t>
  </si>
  <si>
    <t>Big Tank - Extra</t>
  </si>
  <si>
    <t>Profit By Year</t>
  </si>
  <si>
    <t>Year</t>
  </si>
  <si>
    <t>Terms</t>
  </si>
  <si>
    <t>Duration</t>
  </si>
  <si>
    <t>75 days</t>
  </si>
  <si>
    <t>59 Days</t>
  </si>
  <si>
    <t>Current bill</t>
  </si>
  <si>
    <t>Cash - 18-12-2025</t>
  </si>
  <si>
    <t>Cash - 24-12-2025</t>
  </si>
  <si>
    <t>Van Kiray</t>
  </si>
  <si>
    <t>Seed - 24-12-2025</t>
  </si>
  <si>
    <t>from Kakinada-9L (990 ballons)</t>
  </si>
  <si>
    <t>virus</t>
  </si>
  <si>
    <t>Dec2025 - Jan2026</t>
  </si>
  <si>
    <t>Feb2026 - Apr2026</t>
  </si>
  <si>
    <t>Big Tank Full</t>
  </si>
  <si>
    <t>Small Tank Full</t>
  </si>
  <si>
    <t>Term-12</t>
  </si>
  <si>
    <t>Feed-2.5T</t>
  </si>
  <si>
    <t>72 days</t>
  </si>
  <si>
    <t>58 days</t>
  </si>
  <si>
    <t>67 days</t>
  </si>
  <si>
    <t>79 days</t>
  </si>
  <si>
    <t>65 days</t>
  </si>
  <si>
    <t>78 days</t>
  </si>
  <si>
    <t>48 days</t>
  </si>
  <si>
    <t>62 days</t>
  </si>
  <si>
    <t>34 days</t>
  </si>
  <si>
    <t>31 days</t>
  </si>
  <si>
    <t>Assam salary</t>
  </si>
  <si>
    <t>27 days</t>
  </si>
  <si>
    <t>37 days</t>
  </si>
  <si>
    <t>Pending from Term-11</t>
  </si>
  <si>
    <t>Land Lease</t>
  </si>
  <si>
    <t>Big Tank-1st Middle - 131C-234R-1950T</t>
  </si>
  <si>
    <t>11 tons so far</t>
  </si>
  <si>
    <t>Big Tank-Final-120C-250R-6017T</t>
  </si>
  <si>
    <t>Small Tank-Final-90C-280R-650Q</t>
  </si>
  <si>
    <t>Big Tank Final-Macrosis</t>
  </si>
  <si>
    <t>Small Tank Final-S/L</t>
  </si>
  <si>
    <t>71 days</t>
  </si>
  <si>
    <t>Vala kIray</t>
  </si>
  <si>
    <t>Adjustments</t>
  </si>
  <si>
    <t>Cash-24-04-2026</t>
  </si>
  <si>
    <t>8L from Tuni</t>
  </si>
  <si>
    <t>Gas Drums</t>
  </si>
  <si>
    <t>Term-13</t>
  </si>
  <si>
    <t>May2026 - July2026</t>
  </si>
  <si>
    <t>Salt</t>
  </si>
  <si>
    <t>from Narsapuram</t>
  </si>
  <si>
    <t>Tractor charges</t>
  </si>
  <si>
    <t>New Boat</t>
  </si>
  <si>
    <t>JCB and Labor</t>
  </si>
  <si>
    <t>Bore</t>
  </si>
  <si>
    <t>Electric Items</t>
  </si>
  <si>
    <t>Big Tank - First Middle - 119C-121R-2000T</t>
  </si>
  <si>
    <t>Term-14</t>
  </si>
  <si>
    <t>DCP+</t>
  </si>
  <si>
    <t>Loos Sell Tight</t>
  </si>
  <si>
    <t>Big Tank - Final - 95C-240R-3950T</t>
  </si>
  <si>
    <t>69 days</t>
  </si>
  <si>
    <t>Recovery</t>
  </si>
  <si>
    <t>%</t>
  </si>
  <si>
    <t>Big Tank</t>
  </si>
  <si>
    <t>1st Middle- Function</t>
  </si>
  <si>
    <t>3rd Middle</t>
  </si>
  <si>
    <t>Big Tank - 1st Middle</t>
  </si>
  <si>
    <t>Small Tank - Final - 90C-250R-500T</t>
  </si>
  <si>
    <t>Harvesting</t>
  </si>
  <si>
    <t>From Moyyuru-5.5L</t>
  </si>
  <si>
    <t>Tanks</t>
  </si>
  <si>
    <t>So far 10.8 tons</t>
  </si>
  <si>
    <t>Big Tank - Loose Shell</t>
  </si>
  <si>
    <t>Small Tank - Loose Shell</t>
  </si>
  <si>
    <t>Aug2026 - Sept2026</t>
  </si>
  <si>
    <t>Oct2026 - Dec2026</t>
  </si>
  <si>
    <t>57 days</t>
  </si>
  <si>
    <t>Big Tank Loose Shell</t>
  </si>
  <si>
    <t>Extra</t>
  </si>
  <si>
    <t>Loose Shell</t>
  </si>
  <si>
    <t>Last Term</t>
  </si>
  <si>
    <t>4 tonea</t>
  </si>
  <si>
    <t>From Ongole</t>
  </si>
  <si>
    <t>Narisimha murthy</t>
  </si>
  <si>
    <t>Term-15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</si>
</sst>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₹&quot;\ #,##0"/>
    <numFmt numFmtId="165" formatCode="dd\-mmm\-yyyy"/>
    <numFmt numFmtId="166" formatCode="#,##0.0"/>
    <numFmt numFmtId="167" formatCode="&quot;₹&quot;\ #,##0.00"/>
    <numFmt numFmtId="168" formatCode="[$-14009]dd\ mmmm\ yyyy;@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0" fillId="0" borderId="0" xfId="0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14" fontId="2" fillId="0" borderId="1" xfId="0" applyNumberFormat="1" applyFont="1" applyBorder="1" applyAlignment="1" applyProtection="1">
      <alignment horizontal="center"/>
      <protection locked="0"/>
    </xf>
    <xf numFmtId="164" fontId="2" fillId="0" borderId="1" xfId="0" applyNumberFormat="1" applyFont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0" fillId="3" borderId="3" xfId="0" applyFill="1" applyBorder="1" applyAlignment="1" applyProtection="1">
      <alignment horizontal="center"/>
      <protection locked="0"/>
    </xf>
    <xf numFmtId="0" fontId="3" fillId="3" borderId="4" xfId="0" applyFont="1" applyFill="1" applyBorder="1" applyAlignment="1" applyProtection="1">
      <alignment horizontal="right"/>
      <protection locked="0"/>
    </xf>
    <xf numFmtId="164" fontId="3" fillId="3" borderId="5" xfId="0" applyNumberFormat="1" applyFont="1" applyFill="1" applyBorder="1" applyAlignment="1" applyProtection="1">
      <alignment horizontal="left"/>
      <protection locked="0"/>
    </xf>
    <xf numFmtId="0" fontId="4" fillId="3" borderId="4" xfId="0" applyFont="1" applyFill="1" applyBorder="1" applyAlignment="1" applyProtection="1">
      <alignment horizontal="right"/>
      <protection locked="0"/>
    </xf>
    <xf numFmtId="164" fontId="2" fillId="0" borderId="0" xfId="0" applyNumberFormat="1" applyFont="1" applyProtection="1">
      <protection locked="0"/>
    </xf>
    <xf numFmtId="0" fontId="0" fillId="0" borderId="1" xfId="0" applyBorder="1" applyProtection="1">
      <protection locked="0"/>
    </xf>
    <xf numFmtId="0" fontId="2" fillId="4" borderId="6" xfId="0" applyFont="1" applyFill="1" applyBorder="1" applyAlignment="1" applyProtection="1">
      <alignment horizontal="center"/>
      <protection locked="0"/>
    </xf>
    <xf numFmtId="0" fontId="1" fillId="4" borderId="7" xfId="0" applyFont="1" applyFill="1" applyBorder="1" applyAlignment="1" applyProtection="1">
      <alignment horizontal="center"/>
      <protection locked="0"/>
    </xf>
    <xf numFmtId="0" fontId="1" fillId="4" borderId="8" xfId="0" applyFont="1" applyFill="1" applyBorder="1" applyAlignment="1" applyProtection="1">
      <alignment horizontal="center"/>
      <protection locked="0"/>
    </xf>
    <xf numFmtId="0" fontId="1" fillId="4" borderId="9" xfId="0" applyFont="1" applyFill="1" applyBorder="1" applyAlignment="1" applyProtection="1">
      <alignment horizontal="center"/>
      <protection locked="0"/>
    </xf>
    <xf numFmtId="0" fontId="0" fillId="2" borderId="11" xfId="0" applyFill="1" applyBorder="1" applyProtection="1">
      <protection locked="0"/>
    </xf>
    <xf numFmtId="0" fontId="2" fillId="0" borderId="12" xfId="0" applyFont="1" applyBorder="1" applyAlignment="1" applyProtection="1">
      <alignment horizontal="center"/>
      <protection locked="0"/>
    </xf>
    <xf numFmtId="0" fontId="2" fillId="0" borderId="13" xfId="0" applyFont="1" applyBorder="1" applyProtection="1">
      <protection locked="0"/>
    </xf>
    <xf numFmtId="0" fontId="2" fillId="0" borderId="13" xfId="0" applyFont="1" applyBorder="1"/>
    <xf numFmtId="0" fontId="2" fillId="0" borderId="0" xfId="0" applyFont="1" applyAlignment="1" applyProtection="1">
      <alignment horizontal="center"/>
      <protection locked="0"/>
    </xf>
    <xf numFmtId="14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14" fontId="2" fillId="0" borderId="17" xfId="0" applyNumberFormat="1" applyFont="1" applyBorder="1" applyAlignment="1" applyProtection="1">
      <alignment horizontal="center"/>
      <protection locked="0"/>
    </xf>
    <xf numFmtId="0" fontId="2" fillId="0" borderId="17" xfId="0" applyFont="1" applyBorder="1" applyProtection="1">
      <protection locked="0"/>
    </xf>
    <xf numFmtId="164" fontId="2" fillId="0" borderId="17" xfId="0" applyNumberFormat="1" applyFont="1" applyBorder="1" applyProtection="1">
      <protection locked="0"/>
    </xf>
    <xf numFmtId="165" fontId="2" fillId="4" borderId="9" xfId="0" applyNumberFormat="1" applyFont="1" applyFill="1" applyBorder="1"/>
    <xf numFmtId="0" fontId="2" fillId="2" borderId="18" xfId="0" applyFont="1" applyFill="1" applyBorder="1" applyProtection="1">
      <protection locked="0"/>
    </xf>
    <xf numFmtId="0" fontId="2" fillId="0" borderId="12" xfId="0" applyFont="1" applyBorder="1" applyProtection="1">
      <protection locked="0"/>
    </xf>
    <xf numFmtId="0" fontId="0" fillId="0" borderId="13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16" xfId="0" applyBorder="1" applyProtection="1">
      <protection locked="0"/>
    </xf>
    <xf numFmtId="0" fontId="0" fillId="2" borderId="19" xfId="0" applyFill="1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164" fontId="0" fillId="0" borderId="0" xfId="0" applyNumberFormat="1" applyProtection="1">
      <protection locked="0"/>
    </xf>
    <xf numFmtId="0" fontId="2" fillId="0" borderId="23" xfId="0" applyFont="1" applyBorder="1" applyAlignment="1" applyProtection="1">
      <alignment horizontal="center"/>
      <protection locked="0"/>
    </xf>
    <xf numFmtId="164" fontId="4" fillId="3" borderId="0" xfId="0" applyNumberFormat="1" applyFont="1" applyFill="1" applyProtection="1">
      <protection locked="0"/>
    </xf>
    <xf numFmtId="0" fontId="0" fillId="4" borderId="0" xfId="0" applyFill="1" applyProtection="1">
      <protection locked="0"/>
    </xf>
    <xf numFmtId="14" fontId="2" fillId="0" borderId="12" xfId="0" applyNumberFormat="1" applyFont="1" applyBorder="1"/>
    <xf numFmtId="1" fontId="2" fillId="0" borderId="13" xfId="0" applyNumberFormat="1" applyFont="1" applyBorder="1" applyAlignment="1" applyProtection="1">
      <alignment horizontal="center"/>
      <protection locked="0"/>
    </xf>
    <xf numFmtId="1" fontId="2" fillId="0" borderId="16" xfId="0" applyNumberFormat="1" applyFont="1" applyBorder="1" applyAlignment="1" applyProtection="1">
      <alignment horizontal="center"/>
      <protection locked="0"/>
    </xf>
    <xf numFmtId="14" fontId="2" fillId="0" borderId="12" xfId="0" applyNumberFormat="1" applyFont="1" applyBorder="1" applyProtection="1">
      <protection locked="0"/>
    </xf>
    <xf numFmtId="1" fontId="2" fillId="0" borderId="25" xfId="0" applyNumberFormat="1" applyFont="1" applyBorder="1" applyAlignment="1" applyProtection="1">
      <alignment horizontal="center"/>
      <protection locked="0"/>
    </xf>
    <xf numFmtId="165" fontId="2" fillId="4" borderId="4" xfId="0" applyNumberFormat="1" applyFont="1" applyFill="1" applyBorder="1"/>
    <xf numFmtId="1" fontId="2" fillId="0" borderId="27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28" xfId="0" applyFont="1" applyBorder="1" applyAlignment="1" applyProtection="1">
      <alignment horizontal="center"/>
      <protection locked="0"/>
    </xf>
    <xf numFmtId="0" fontId="2" fillId="0" borderId="25" xfId="0" applyFont="1" applyBorder="1" applyAlignment="1" applyProtection="1">
      <alignment horizontal="center"/>
      <protection locked="0"/>
    </xf>
    <xf numFmtId="1" fontId="2" fillId="2" borderId="28" xfId="0" applyNumberFormat="1" applyFont="1" applyFill="1" applyBorder="1" applyAlignment="1" applyProtection="1">
      <alignment horizontal="center"/>
      <protection locked="0"/>
    </xf>
    <xf numFmtId="1" fontId="2" fillId="2" borderId="25" xfId="0" applyNumberFormat="1" applyFont="1" applyFill="1" applyBorder="1" applyAlignment="1" applyProtection="1">
      <alignment horizontal="center"/>
      <protection locked="0"/>
    </xf>
    <xf numFmtId="0" fontId="2" fillId="0" borderId="28" xfId="0" applyFont="1" applyBorder="1" applyProtection="1">
      <protection locked="0"/>
    </xf>
    <xf numFmtId="0" fontId="0" fillId="0" borderId="1" xfId="0" applyBorder="1" applyAlignment="1" applyProtection="1">
      <alignment horizontal="right"/>
      <protection locked="0"/>
    </xf>
    <xf numFmtId="3" fontId="0" fillId="0" borderId="1" xfId="0" applyNumberFormat="1" applyBorder="1" applyProtection="1">
      <protection locked="0"/>
    </xf>
    <xf numFmtId="3" fontId="2" fillId="0" borderId="1" xfId="0" applyNumberFormat="1" applyFont="1" applyBorder="1" applyProtection="1">
      <protection locked="0"/>
    </xf>
    <xf numFmtId="0" fontId="2" fillId="6" borderId="1" xfId="0" applyFont="1" applyFill="1" applyBorder="1" applyProtection="1">
      <protection locked="0"/>
    </xf>
    <xf numFmtId="164" fontId="0" fillId="0" borderId="1" xfId="0" applyNumberFormat="1" applyBorder="1" applyProtection="1">
      <protection locked="0"/>
    </xf>
    <xf numFmtId="164" fontId="2" fillId="0" borderId="15" xfId="0" applyNumberFormat="1" applyFont="1" applyBorder="1" applyProtection="1">
      <protection locked="0"/>
    </xf>
    <xf numFmtId="0" fontId="2" fillId="0" borderId="16" xfId="0" applyFont="1" applyBorder="1" applyProtection="1">
      <protection locked="0"/>
    </xf>
    <xf numFmtId="0" fontId="2" fillId="6" borderId="2" xfId="0" applyFont="1" applyFill="1" applyBorder="1" applyAlignment="1" applyProtection="1">
      <alignment horizontal="left"/>
      <protection locked="0"/>
    </xf>
    <xf numFmtId="0" fontId="2" fillId="6" borderId="2" xfId="0" applyFont="1" applyFill="1" applyBorder="1" applyAlignment="1" applyProtection="1">
      <alignment horizontal="right"/>
      <protection locked="0"/>
    </xf>
    <xf numFmtId="166" fontId="0" fillId="0" borderId="1" xfId="0" applyNumberFormat="1" applyBorder="1" applyProtection="1">
      <protection locked="0"/>
    </xf>
    <xf numFmtId="0" fontId="0" fillId="0" borderId="0" xfId="0" applyAlignment="1" applyProtection="1">
      <alignment horizontal="right"/>
      <protection locked="0"/>
    </xf>
    <xf numFmtId="14" fontId="2" fillId="0" borderId="13" xfId="0" applyNumberFormat="1" applyFont="1" applyBorder="1" applyProtection="1">
      <protection locked="0"/>
    </xf>
    <xf numFmtId="0" fontId="0" fillId="0" borderId="32" xfId="0" applyBorder="1" applyProtection="1">
      <protection locked="0"/>
    </xf>
    <xf numFmtId="14" fontId="2" fillId="0" borderId="32" xfId="0" applyNumberFormat="1" applyFont="1" applyBorder="1" applyAlignment="1" applyProtection="1">
      <alignment horizontal="center"/>
      <protection locked="0"/>
    </xf>
    <xf numFmtId="0" fontId="2" fillId="0" borderId="32" xfId="0" applyFont="1" applyBorder="1" applyProtection="1">
      <protection locked="0"/>
    </xf>
    <xf numFmtId="164" fontId="2" fillId="0" borderId="32" xfId="0" applyNumberFormat="1" applyFont="1" applyBorder="1" applyProtection="1">
      <protection locked="0"/>
    </xf>
    <xf numFmtId="0" fontId="2" fillId="0" borderId="33" xfId="0" applyFont="1" applyBorder="1" applyProtection="1">
      <protection locked="0"/>
    </xf>
    <xf numFmtId="0" fontId="0" fillId="0" borderId="34" xfId="0" applyBorder="1" applyProtection="1">
      <protection locked="0"/>
    </xf>
    <xf numFmtId="1" fontId="2" fillId="0" borderId="33" xfId="0" applyNumberFormat="1" applyFont="1" applyBorder="1" applyAlignment="1" applyProtection="1">
      <alignment horizontal="center"/>
      <protection locked="0"/>
    </xf>
    <xf numFmtId="1" fontId="2" fillId="0" borderId="26" xfId="0" applyNumberFormat="1" applyFont="1" applyBorder="1" applyAlignment="1" applyProtection="1">
      <alignment horizontal="center"/>
      <protection locked="0"/>
    </xf>
    <xf numFmtId="0" fontId="0" fillId="0" borderId="33" xfId="0" applyBorder="1" applyProtection="1"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0" fillId="0" borderId="35" xfId="0" applyBorder="1" applyProtection="1">
      <protection locked="0"/>
    </xf>
    <xf numFmtId="0" fontId="0" fillId="0" borderId="35" xfId="0" applyBorder="1" applyAlignment="1" applyProtection="1">
      <alignment horizontal="center"/>
      <protection locked="0"/>
    </xf>
    <xf numFmtId="164" fontId="0" fillId="0" borderId="35" xfId="0" applyNumberFormat="1" applyBorder="1" applyProtection="1">
      <protection locked="0"/>
    </xf>
    <xf numFmtId="0" fontId="0" fillId="0" borderId="35" xfId="0" applyBorder="1" applyAlignment="1" applyProtection="1">
      <alignment horizontal="right"/>
      <protection locked="0"/>
    </xf>
    <xf numFmtId="4" fontId="2" fillId="0" borderId="1" xfId="0" applyNumberFormat="1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3" fontId="2" fillId="6" borderId="2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2" fillId="6" borderId="2" xfId="0" applyFont="1" applyFill="1" applyBorder="1" applyAlignment="1">
      <alignment horizontal="center"/>
    </xf>
    <xf numFmtId="0" fontId="2" fillId="6" borderId="2" xfId="0" applyFont="1" applyFill="1" applyBorder="1"/>
    <xf numFmtId="0" fontId="2" fillId="6" borderId="1" xfId="0" applyFont="1" applyFill="1" applyBorder="1" applyAlignment="1" applyProtection="1">
      <alignment horizontal="right"/>
      <protection locked="0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0" fillId="0" borderId="32" xfId="0" applyNumberFormat="1" applyBorder="1" applyProtection="1">
      <protection locked="0"/>
    </xf>
    <xf numFmtId="164" fontId="0" fillId="0" borderId="17" xfId="0" applyNumberFormat="1" applyBorder="1" applyProtection="1">
      <protection locked="0"/>
    </xf>
    <xf numFmtId="0" fontId="0" fillId="6" borderId="1" xfId="0" applyFill="1" applyBorder="1" applyProtection="1">
      <protection locked="0"/>
    </xf>
    <xf numFmtId="167" fontId="2" fillId="0" borderId="1" xfId="0" applyNumberFormat="1" applyFont="1" applyBorder="1" applyProtection="1">
      <protection locked="0"/>
    </xf>
    <xf numFmtId="14" fontId="2" fillId="0" borderId="13" xfId="0" applyNumberFormat="1" applyFont="1" applyBorder="1"/>
    <xf numFmtId="0" fontId="2" fillId="0" borderId="1" xfId="0" applyFont="1" applyBorder="1" applyAlignment="1" applyProtection="1">
      <alignment wrapText="1"/>
      <protection locked="0"/>
    </xf>
    <xf numFmtId="168" fontId="2" fillId="0" borderId="1" xfId="0" applyNumberFormat="1" applyFont="1" applyBorder="1"/>
    <xf numFmtId="164" fontId="2" fillId="0" borderId="35" xfId="0" applyNumberFormat="1" applyFont="1" applyBorder="1" applyProtection="1">
      <protection locked="0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/>
    <xf numFmtId="0" fontId="0" fillId="0" borderId="1" xfId="0" applyBorder="1"/>
    <xf numFmtId="4" fontId="2" fillId="0" borderId="1" xfId="0" applyNumberFormat="1" applyFont="1" applyBorder="1" applyAlignment="1" applyProtection="1">
      <alignment horizontal="right"/>
      <protection locked="0"/>
    </xf>
    <xf numFmtId="167" fontId="0" fillId="0" borderId="0" xfId="0" applyNumberFormat="1" applyProtection="1">
      <protection locked="0"/>
    </xf>
    <xf numFmtId="167" fontId="0" fillId="0" borderId="1" xfId="0" applyNumberFormat="1" applyBorder="1" applyProtection="1">
      <protection locked="0"/>
    </xf>
    <xf numFmtId="164" fontId="2" fillId="6" borderId="1" xfId="0" applyNumberFormat="1" applyFont="1" applyFill="1" applyBorder="1" applyProtection="1">
      <protection locked="0"/>
    </xf>
    <xf numFmtId="1" fontId="2" fillId="0" borderId="28" xfId="0" applyNumberFormat="1" applyFont="1" applyBorder="1" applyAlignment="1" applyProtection="1">
      <alignment horizontal="center"/>
      <protection locked="0"/>
    </xf>
    <xf numFmtId="164" fontId="2" fillId="0" borderId="36" xfId="0" applyNumberFormat="1" applyFont="1" applyBorder="1" applyProtection="1"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0" fontId="2" fillId="6" borderId="1" xfId="0" applyFont="1" applyFill="1" applyBorder="1" applyAlignment="1" applyProtection="1">
      <alignment horizontal="center"/>
      <protection locked="0"/>
    </xf>
    <xf numFmtId="14" fontId="2" fillId="0" borderId="12" xfId="0" applyNumberFormat="1" applyFont="1" applyBorder="1" applyAlignment="1">
      <alignment horizontal="center"/>
    </xf>
    <xf numFmtId="0" fontId="0" fillId="0" borderId="32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164" fontId="2" fillId="0" borderId="1" xfId="0" applyNumberFormat="1" applyFont="1" applyBorder="1" applyAlignment="1" applyProtection="1">
      <alignment horizontal="center"/>
      <protection locked="0"/>
    </xf>
    <xf numFmtId="167" fontId="2" fillId="6" borderId="1" xfId="0" applyNumberFormat="1" applyFont="1" applyFill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3" fontId="0" fillId="0" borderId="0" xfId="0" applyNumberFormat="1" applyAlignment="1" applyProtection="1">
      <alignment horizontal="center"/>
      <protection locked="0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6" borderId="1" xfId="0" applyFont="1" applyFill="1" applyBorder="1" applyAlignment="1" applyProtection="1">
      <alignment horizontal="left"/>
      <protection locked="0"/>
    </xf>
    <xf numFmtId="2" fontId="2" fillId="0" borderId="1" xfId="0" applyNumberFormat="1" applyFont="1" applyBorder="1" applyProtection="1">
      <protection locked="0"/>
    </xf>
    <xf numFmtId="14" fontId="2" fillId="0" borderId="28" xfId="0" applyNumberFormat="1" applyFont="1" applyBorder="1" applyAlignment="1">
      <alignment horizontal="center"/>
    </xf>
    <xf numFmtId="3" fontId="0" fillId="0" borderId="0" xfId="0" applyNumberFormat="1" applyProtection="1">
      <protection locked="0"/>
    </xf>
    <xf numFmtId="0" fontId="0" fillId="0" borderId="37" xfId="0" applyBorder="1"/>
    <xf numFmtId="0" fontId="0" fillId="6" borderId="28" xfId="0" applyFill="1" applyBorder="1" applyProtection="1">
      <protection locked="0"/>
    </xf>
    <xf numFmtId="164" fontId="0" fillId="0" borderId="28" xfId="0" applyNumberFormat="1" applyBorder="1" applyProtection="1">
      <protection locked="0"/>
    </xf>
    <xf numFmtId="164" fontId="2" fillId="0" borderId="28" xfId="0" applyNumberFormat="1" applyFont="1" applyBorder="1" applyProtection="1">
      <protection locked="0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/>
    <xf numFmtId="164" fontId="0" fillId="0" borderId="1" xfId="0" applyNumberForma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right"/>
      <protection locked="0"/>
    </xf>
    <xf numFmtId="0" fontId="2" fillId="6" borderId="21" xfId="0" applyFont="1" applyFill="1" applyBorder="1" applyAlignment="1" applyProtection="1">
      <alignment horizontal="left"/>
      <protection locked="0"/>
    </xf>
    <xf numFmtId="3" fontId="0" fillId="0" borderId="1" xfId="0" applyNumberFormat="1" applyBorder="1"/>
    <xf numFmtId="10" fontId="0" fillId="0" borderId="1" xfId="0" applyNumberFormat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2" fillId="8" borderId="1" xfId="0" applyFont="1" applyFill="1" applyBorder="1"/>
    <xf numFmtId="164" fontId="2" fillId="8" borderId="1" xfId="0" applyNumberFormat="1" applyFont="1" applyFill="1" applyBorder="1" applyAlignment="1">
      <alignment horizontal="right"/>
    </xf>
    <xf numFmtId="164" fontId="0" fillId="8" borderId="1" xfId="0" applyNumberFormat="1" applyFill="1" applyBorder="1"/>
    <xf numFmtId="1" fontId="0" fillId="8" borderId="1" xfId="0" applyNumberFormat="1" applyFill="1" applyBorder="1"/>
    <xf numFmtId="164" fontId="0" fillId="8" borderId="1" xfId="0" applyNumberFormat="1" applyFill="1" applyBorder="1" applyAlignment="1">
      <alignment horizontal="center"/>
    </xf>
    <xf numFmtId="0" fontId="0" fillId="8" borderId="0" xfId="0" applyFill="1"/>
    <xf numFmtId="3" fontId="0" fillId="8" borderId="1" xfId="0" applyNumberFormat="1" applyFill="1" applyBorder="1"/>
    <xf numFmtId="10" fontId="0" fillId="8" borderId="1" xfId="0" applyNumberFormat="1" applyFill="1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2" fillId="0" borderId="2" xfId="0" applyFont="1" applyBorder="1"/>
    <xf numFmtId="164" fontId="2" fillId="0" borderId="2" xfId="0" applyNumberFormat="1" applyFont="1" applyBorder="1" applyAlignment="1">
      <alignment horizontal="right"/>
    </xf>
    <xf numFmtId="164" fontId="0" fillId="0" borderId="2" xfId="0" applyNumberFormat="1" applyBorder="1"/>
    <xf numFmtId="1" fontId="0" fillId="0" borderId="2" xfId="0" applyNumberFormat="1" applyBorder="1"/>
    <xf numFmtId="164" fontId="0" fillId="0" borderId="2" xfId="0" applyNumberFormat="1" applyBorder="1" applyAlignment="1">
      <alignment horizontal="center"/>
    </xf>
    <xf numFmtId="3" fontId="0" fillId="0" borderId="2" xfId="0" applyNumberFormat="1" applyBorder="1"/>
    <xf numFmtId="10" fontId="0" fillId="0" borderId="2" xfId="0" applyNumberFormat="1" applyBorder="1"/>
    <xf numFmtId="0" fontId="0" fillId="0" borderId="38" xfId="0" applyBorder="1"/>
    <xf numFmtId="0" fontId="0" fillId="0" borderId="40" xfId="0" applyBorder="1"/>
    <xf numFmtId="0" fontId="2" fillId="7" borderId="39" xfId="0" applyFont="1" applyFill="1" applyBorder="1" applyAlignment="1">
      <alignment horizontal="center"/>
    </xf>
    <xf numFmtId="0" fontId="2" fillId="7" borderId="39" xfId="0" applyFont="1" applyFill="1" applyBorder="1" applyAlignment="1">
      <alignment horizontal="left"/>
    </xf>
    <xf numFmtId="0" fontId="2" fillId="7" borderId="39" xfId="0" applyFont="1" applyFill="1" applyBorder="1"/>
    <xf numFmtId="0" fontId="2" fillId="7" borderId="39" xfId="0" applyFont="1" applyFill="1" applyBorder="1" applyAlignment="1">
      <alignment horizontal="right"/>
    </xf>
    <xf numFmtId="0" fontId="0" fillId="7" borderId="39" xfId="0" applyFill="1" applyBorder="1"/>
    <xf numFmtId="168" fontId="2" fillId="7" borderId="39" xfId="0" applyNumberFormat="1" applyFont="1" applyFill="1" applyBorder="1"/>
    <xf numFmtId="164" fontId="0" fillId="0" borderId="1" xfId="0" applyNumberForma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right"/>
      <protection locked="0"/>
    </xf>
    <xf numFmtId="0" fontId="0" fillId="0" borderId="1" xfId="0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30" xfId="0" applyFont="1" applyBorder="1" applyAlignment="1" applyProtection="1">
      <alignment horizontal="center"/>
      <protection locked="0"/>
    </xf>
    <xf numFmtId="0" fontId="2" fillId="0" borderId="26" xfId="0" applyFont="1" applyBorder="1" applyAlignment="1" applyProtection="1">
      <alignment horizontal="center"/>
      <protection locked="0"/>
    </xf>
    <xf numFmtId="0" fontId="2" fillId="0" borderId="29" xfId="0" applyFont="1" applyBorder="1" applyAlignment="1" applyProtection="1">
      <alignment horizontal="center"/>
      <protection locked="0"/>
    </xf>
    <xf numFmtId="165" fontId="2" fillId="4" borderId="20" xfId="0" applyNumberFormat="1" applyFont="1" applyFill="1" applyBorder="1" applyAlignment="1">
      <alignment horizontal="center"/>
    </xf>
    <xf numFmtId="165" fontId="2" fillId="4" borderId="24" xfId="0" applyNumberFormat="1" applyFont="1" applyFill="1" applyBorder="1" applyAlignment="1">
      <alignment horizontal="center"/>
    </xf>
    <xf numFmtId="1" fontId="2" fillId="2" borderId="28" xfId="0" applyNumberFormat="1" applyFont="1" applyFill="1" applyBorder="1" applyAlignment="1" applyProtection="1">
      <alignment horizontal="center"/>
      <protection locked="0"/>
    </xf>
    <xf numFmtId="1" fontId="2" fillId="2" borderId="31" xfId="0" applyNumberFormat="1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/>
      <protection locked="0"/>
    </xf>
    <xf numFmtId="0" fontId="2" fillId="5" borderId="25" xfId="0" applyFont="1" applyFill="1" applyBorder="1" applyAlignment="1" applyProtection="1">
      <alignment horizontal="center"/>
      <protection locked="0"/>
    </xf>
    <xf numFmtId="0" fontId="2" fillId="5" borderId="31" xfId="0" applyFont="1" applyFill="1" applyBorder="1" applyAlignment="1" applyProtection="1">
      <alignment horizontal="center"/>
      <protection locked="0"/>
    </xf>
    <xf numFmtId="0" fontId="2" fillId="6" borderId="1" xfId="0" applyFont="1" applyFill="1" applyBorder="1" applyAlignment="1" applyProtection="1">
      <alignment horizontal="right"/>
      <protection locked="0"/>
    </xf>
    <xf numFmtId="0" fontId="2" fillId="6" borderId="1" xfId="0" applyFont="1" applyFill="1" applyBorder="1" applyAlignment="1" applyProtection="1">
      <alignment horizontal="center"/>
      <protection locked="0"/>
    </xf>
    <xf numFmtId="0" fontId="2" fillId="6" borderId="28" xfId="0" applyFont="1" applyFill="1" applyBorder="1" applyAlignment="1" applyProtection="1">
      <alignment horizontal="center"/>
      <protection locked="0"/>
    </xf>
    <xf numFmtId="0" fontId="1" fillId="4" borderId="7" xfId="0" applyFont="1" applyFill="1" applyBorder="1" applyAlignment="1" applyProtection="1">
      <alignment horizontal="center"/>
      <protection locked="0"/>
    </xf>
    <xf numFmtId="0" fontId="1" fillId="4" borderId="8" xfId="0" applyFont="1" applyFill="1" applyBorder="1" applyAlignment="1" applyProtection="1">
      <alignment horizontal="center"/>
      <protection locked="0"/>
    </xf>
    <xf numFmtId="0" fontId="1" fillId="4" borderId="9" xfId="0" applyFont="1" applyFill="1" applyBorder="1" applyAlignment="1" applyProtection="1">
      <alignment horizontal="center"/>
      <protection locked="0"/>
    </xf>
    <xf numFmtId="164" fontId="3" fillId="2" borderId="20" xfId="0" applyNumberFormat="1" applyFont="1" applyFill="1" applyBorder="1" applyAlignment="1" applyProtection="1">
      <alignment horizontal="left"/>
      <protection locked="0"/>
    </xf>
    <xf numFmtId="164" fontId="3" fillId="2" borderId="21" xfId="0" applyNumberFormat="1" applyFont="1" applyFill="1" applyBorder="1" applyAlignment="1" applyProtection="1">
      <alignment horizontal="left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1" fontId="2" fillId="2" borderId="25" xfId="0" applyNumberFormat="1" applyFont="1" applyFill="1" applyBorder="1" applyAlignment="1" applyProtection="1">
      <alignment horizontal="center"/>
      <protection locked="0"/>
    </xf>
    <xf numFmtId="0" fontId="2" fillId="5" borderId="12" xfId="0" applyFont="1" applyFill="1" applyBorder="1" applyAlignment="1" applyProtection="1">
      <alignment horizontal="center"/>
      <protection locked="0"/>
    </xf>
    <xf numFmtId="0" fontId="2" fillId="5" borderId="1" xfId="0" applyFont="1" applyFill="1" applyBorder="1" applyAlignment="1" applyProtection="1">
      <alignment horizontal="center"/>
      <protection locked="0"/>
    </xf>
    <xf numFmtId="0" fontId="2" fillId="5" borderId="2" xfId="0" applyFont="1" applyFill="1" applyBorder="1" applyAlignment="1" applyProtection="1">
      <alignment horizontal="center"/>
      <protection locked="0"/>
    </xf>
    <xf numFmtId="0" fontId="2" fillId="5" borderId="13" xfId="0" applyFont="1" applyFill="1" applyBorder="1" applyAlignment="1" applyProtection="1">
      <alignment horizontal="center"/>
      <protection locked="0"/>
    </xf>
    <xf numFmtId="0" fontId="2" fillId="0" borderId="28" xfId="0" applyFont="1" applyBorder="1" applyAlignment="1" applyProtection="1">
      <alignment horizontal="center"/>
      <protection locked="0"/>
    </xf>
    <xf numFmtId="0" fontId="2" fillId="0" borderId="25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6" borderId="1" xfId="0" applyFont="1" applyFill="1" applyBorder="1" applyAlignment="1" applyProtection="1">
      <alignment horizontal="left"/>
      <protection locked="0"/>
    </xf>
    <xf numFmtId="0" fontId="0" fillId="0" borderId="28" xfId="0" applyBorder="1" applyAlignment="1">
      <alignment horizontal="right"/>
    </xf>
    <xf numFmtId="0" fontId="0" fillId="0" borderId="25" xfId="0" applyBorder="1" applyAlignment="1">
      <alignment horizontal="right"/>
    </xf>
    <xf numFmtId="0" fontId="0" fillId="0" borderId="23" xfId="0" applyBorder="1" applyAlignment="1">
      <alignment horizontal="right"/>
    </xf>
    <xf numFmtId="168" fontId="2" fillId="0" borderId="25" xfId="0" applyNumberFormat="1" applyFont="1" applyBorder="1" applyAlignment="1">
      <alignment horizontal="right"/>
    </xf>
    <xf numFmtId="168" fontId="2" fillId="0" borderId="23" xfId="0" applyNumberFormat="1" applyFont="1" applyBorder="1" applyAlignment="1">
      <alignment horizontal="right"/>
    </xf>
    <xf numFmtId="0" fontId="2" fillId="0" borderId="28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23" xfId="0" applyFont="1" applyBorder="1" applyAlignment="1">
      <alignment horizontal="left"/>
    </xf>
  </cellXfs>
  <cellStyles count="1">
    <cellStyle name="Normal" xfId="0" builtinId="0"/>
  </cellStyles>
  <dxfs count="8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 w="3175">
          <a:solidFill>
            <a:schemeClr val="bg1">
              <a:lumMod val="50000"/>
            </a:schemeClr>
          </a:solidFill>
        </a:ln>
        <a:effectLst/>
        <a:sp3d contourW="3175">
          <a:contourClr>
            <a:schemeClr val="bg1">
              <a:lumMod val="50000"/>
            </a:schemeClr>
          </a:contourClr>
        </a:sp3d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List!$D$1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4E4F-47CD-A7C6-0B7F6F8BB8BA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4E4F-47CD-A7C6-0B7F6F8BB8BA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4E4F-47CD-A7C6-0B7F6F8BB8BA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4E4F-47CD-A7C6-0B7F6F8BB8BA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4E4F-47CD-A7C6-0B7F6F8BB8BA}"/>
              </c:ext>
            </c:extLst>
          </c:dPt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4E4F-47CD-A7C6-0B7F6F8BB8BA}"/>
              </c:ext>
            </c:extLst>
          </c:dPt>
          <c:dPt>
            <c:idx val="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6-4E4F-47CD-A7C6-0B7F6F8BB8BA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4E4F-47CD-A7C6-0B7F6F8BB8B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List!$C$2:$C$16</c:f>
              <c:strCache>
                <c:ptCount val="15"/>
                <c:pt idx="0">
                  <c:v>Term-1</c:v>
                </c:pt>
                <c:pt idx="1">
                  <c:v>Term-2</c:v>
                </c:pt>
                <c:pt idx="2">
                  <c:v>Term-3</c:v>
                </c:pt>
                <c:pt idx="3">
                  <c:v>Term-4</c:v>
                </c:pt>
                <c:pt idx="4">
                  <c:v>Term-5</c:v>
                </c:pt>
                <c:pt idx="5">
                  <c:v>Term-6</c:v>
                </c:pt>
                <c:pt idx="6">
                  <c:v>Term-7</c:v>
                </c:pt>
                <c:pt idx="7">
                  <c:v>Term-8</c:v>
                </c:pt>
                <c:pt idx="8">
                  <c:v>Term-9</c:v>
                </c:pt>
                <c:pt idx="9">
                  <c:v>Term-10</c:v>
                </c:pt>
                <c:pt idx="10">
                  <c:v>Term-11</c:v>
                </c:pt>
                <c:pt idx="11">
                  <c:v>Term-12</c:v>
                </c:pt>
                <c:pt idx="12">
                  <c:v>Term-13</c:v>
                </c:pt>
                <c:pt idx="13">
                  <c:v>Term-14</c:v>
                </c:pt>
                <c:pt idx="14">
                  <c:v>Term-15</c:v>
                </c:pt>
              </c:strCache>
            </c:strRef>
          </c:cat>
          <c:val>
            <c:numRef>
              <c:f>List!$D$2:$D$16</c:f>
              <c:numCache>
                <c:formatCode>"₹"\ #,##0</c:formatCode>
                <c:ptCount val="15"/>
                <c:pt idx="0">
                  <c:v>-790524</c:v>
                </c:pt>
                <c:pt idx="1">
                  <c:v>-218110</c:v>
                </c:pt>
                <c:pt idx="2">
                  <c:v>-470000</c:v>
                </c:pt>
                <c:pt idx="3">
                  <c:v>1098545</c:v>
                </c:pt>
                <c:pt idx="4">
                  <c:v>391120</c:v>
                </c:pt>
                <c:pt idx="5">
                  <c:v>1002304</c:v>
                </c:pt>
                <c:pt idx="6">
                  <c:v>528979</c:v>
                </c:pt>
                <c:pt idx="7">
                  <c:v>405496</c:v>
                </c:pt>
                <c:pt idx="8">
                  <c:v>1125929.5</c:v>
                </c:pt>
                <c:pt idx="9">
                  <c:v>979350</c:v>
                </c:pt>
                <c:pt idx="10">
                  <c:v>-469722.5</c:v>
                </c:pt>
                <c:pt idx="11">
                  <c:v>610376</c:v>
                </c:pt>
                <c:pt idx="12">
                  <c:v>76509.399999999907</c:v>
                </c:pt>
                <c:pt idx="13">
                  <c:v>22177</c:v>
                </c:pt>
                <c:pt idx="14">
                  <c:v>-300000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  <a:sp3d/>
                </c14:spPr>
              </c14:invertSolidFillFmt>
            </c:ext>
            <c:ext xmlns:c16="http://schemas.microsoft.com/office/drawing/2014/chart" uri="{C3380CC4-5D6E-409C-BE32-E72D297353CC}">
              <c16:uniqueId val="{00000009-4E4F-47CD-A7C6-0B7F6F8BB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201"/>
        <c:shape val="box"/>
        <c:axId val="656027871"/>
        <c:axId val="656025951"/>
        <c:axId val="0"/>
      </c:bar3DChart>
      <c:catAx>
        <c:axId val="65602787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Terms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656025951"/>
        <c:crosses val="autoZero"/>
        <c:auto val="1"/>
        <c:lblAlgn val="ctr"/>
        <c:lblOffset val="100"/>
        <c:noMultiLvlLbl val="0"/>
      </c:catAx>
      <c:valAx>
        <c:axId val="65602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02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Overall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EF3D-4190-B64F-602760BB80E1}"/>
              </c:ext>
            </c:extLst>
          </c:dPt>
          <c:dLbls>
            <c:dLbl>
              <c:idx val="0"/>
              <c:layout>
                <c:manualLayout>
                  <c:x val="4.8832776728943809E-2"/>
                  <c:y val="-6.602563915938028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EBEA230-D366-4DB0-8760-2432611BEF41}" type="VALUE">
                      <a:rPr lang="en-US" b="1">
                        <a:solidFill>
                          <a:schemeClr val="tx1"/>
                        </a:solidFill>
                      </a:rPr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IN"/>
                  </a:p>
                </c:rich>
              </c:tx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402515542347432"/>
                      <c:h val="6.6599178412298607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EF3D-4190-B64F-602760BB80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List!$D$25</c:f>
              <c:numCache>
                <c:formatCode>"₹"\ #,##0</c:formatCode>
                <c:ptCount val="1"/>
                <c:pt idx="0">
                  <c:v>3992429.4000000004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  <a:sp3d/>
                </c14:spPr>
              </c14:invertSolidFillFmt>
            </c:ext>
            <c:ext xmlns:c16="http://schemas.microsoft.com/office/drawing/2014/chart" uri="{C3380CC4-5D6E-409C-BE32-E72D297353CC}">
              <c16:uniqueId val="{00000001-EF3D-4190-B64F-602760BB8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gapDepth val="4"/>
        <c:shape val="box"/>
        <c:axId val="387580976"/>
        <c:axId val="387583376"/>
        <c:axId val="0"/>
      </c:bar3DChart>
      <c:catAx>
        <c:axId val="38758097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387583376"/>
        <c:crosses val="autoZero"/>
        <c:auto val="1"/>
        <c:lblAlgn val="ctr"/>
        <c:lblOffset val="100"/>
        <c:noMultiLvlLbl val="0"/>
      </c:catAx>
      <c:valAx>
        <c:axId val="38758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8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 w="3175">
          <a:solidFill>
            <a:schemeClr val="bg1">
              <a:lumMod val="50000"/>
            </a:schemeClr>
          </a:solidFill>
        </a:ln>
        <a:effectLst/>
        <a:sp3d contourW="3175">
          <a:contourClr>
            <a:schemeClr val="bg1">
              <a:lumMod val="50000"/>
            </a:schemeClr>
          </a:contourClr>
        </a:sp3d>
      </c:spPr>
    </c:backWall>
    <c:plotArea>
      <c:layout/>
      <c:bar3DChart>
        <c:barDir val="col"/>
        <c:grouping val="stacked"/>
        <c:varyColors val="0"/>
        <c:ser>
          <c:idx val="1"/>
          <c:order val="0"/>
          <c:tx>
            <c:strRef>
              <c:f>List!$B$28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List!$B$29:$B$32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E-48B7-8584-6C8583619911}"/>
            </c:ext>
          </c:extLst>
        </c:ser>
        <c:ser>
          <c:idx val="2"/>
          <c:order val="1"/>
          <c:tx>
            <c:strRef>
              <c:f>List!$D$28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1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List!$D$29:$D$32</c:f>
              <c:numCache>
                <c:formatCode>"₹"\ #,##0</c:formatCode>
                <c:ptCount val="4"/>
                <c:pt idx="0">
                  <c:v>-1478634</c:v>
                </c:pt>
                <c:pt idx="1">
                  <c:v>2491969</c:v>
                </c:pt>
                <c:pt idx="2">
                  <c:v>3039754.5</c:v>
                </c:pt>
                <c:pt idx="3">
                  <c:v>239339.89999999991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  <a:sp3d/>
                </c14:spPr>
              </c14:invertSolidFillFmt>
            </c:ext>
            <c:ext xmlns:c16="http://schemas.microsoft.com/office/drawing/2014/chart" uri="{C3380CC4-5D6E-409C-BE32-E72D297353CC}">
              <c16:uniqueId val="{00000001-7F9E-48B7-8584-6C8583619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4"/>
        <c:gapDepth val="213"/>
        <c:shape val="box"/>
        <c:axId val="656027871"/>
        <c:axId val="656025951"/>
        <c:axId val="0"/>
      </c:bar3DChart>
      <c:catAx>
        <c:axId val="6560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Terms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025951"/>
        <c:crosses val="autoZero"/>
        <c:auto val="1"/>
        <c:lblAlgn val="ctr"/>
        <c:lblOffset val="100"/>
        <c:noMultiLvlLbl val="0"/>
      </c:catAx>
      <c:valAx>
        <c:axId val="65602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027871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4.jpeg"/><Relationship Id="rId1" Type="http://schemas.openxmlformats.org/officeDocument/2006/relationships/image" Target="../media/image13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425275</xdr:colOff>
      <xdr:row>44</xdr:row>
      <xdr:rowOff>33866</xdr:rowOff>
    </xdr:from>
    <xdr:to>
      <xdr:col>13</xdr:col>
      <xdr:colOff>24841</xdr:colOff>
      <xdr:row>67</xdr:row>
      <xdr:rowOff>101600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B85DFE-FB19-07DD-CA37-5814D2252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5675" y="8297333"/>
          <a:ext cx="3274099" cy="4351867"/>
        </a:xfrm>
        <a:prstGeom prst="rect">
          <a:avLst/>
        </a:prstGeom>
      </xdr:spPr>
    </xdr:pic>
    <xdr:clientData/>
  </xdr:twoCellAnchor>
  <xdr:twoCellAnchor editAs="oneCell">
    <xdr:from>
      <xdr:col>0</xdr:col>
      <xdr:colOff>15241</xdr:colOff>
      <xdr:row>43</xdr:row>
      <xdr:rowOff>22860</xdr:rowOff>
    </xdr:from>
    <xdr:to>
      <xdr:col>3</xdr:col>
      <xdr:colOff>505466</xdr:colOff>
      <xdr:row>64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00D050-7776-2FC4-488A-8D6D57240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1" y="7947660"/>
          <a:ext cx="2692405" cy="3863340"/>
        </a:xfrm>
        <a:prstGeom prst="rect">
          <a:avLst/>
        </a:prstGeom>
      </xdr:spPr>
    </xdr:pic>
    <xdr:clientData/>
  </xdr:twoCellAnchor>
  <xdr:twoCellAnchor editAs="oneCell">
    <xdr:from>
      <xdr:col>3</xdr:col>
      <xdr:colOff>990600</xdr:colOff>
      <xdr:row>43</xdr:row>
      <xdr:rowOff>7620</xdr:rowOff>
    </xdr:from>
    <xdr:to>
      <xdr:col>5</xdr:col>
      <xdr:colOff>1388448</xdr:colOff>
      <xdr:row>71</xdr:row>
      <xdr:rowOff>91440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95E30A-D521-B747-7117-6A918ACC8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180" y="7932420"/>
          <a:ext cx="3541521" cy="5204460"/>
        </a:xfrm>
        <a:prstGeom prst="rect">
          <a:avLst/>
        </a:prstGeom>
      </xdr:spPr>
    </xdr:pic>
    <xdr:clientData/>
  </xdr:twoCellAnchor>
  <xdr:twoCellAnchor editAs="oneCell">
    <xdr:from>
      <xdr:col>6</xdr:col>
      <xdr:colOff>22946</xdr:colOff>
      <xdr:row>43</xdr:row>
      <xdr:rowOff>1</xdr:rowOff>
    </xdr:from>
    <xdr:to>
      <xdr:col>11</xdr:col>
      <xdr:colOff>40654</xdr:colOff>
      <xdr:row>71</xdr:row>
      <xdr:rowOff>91440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F55E384-EC8A-3F05-8575-9B52AF76D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9466" y="7924801"/>
          <a:ext cx="4346715" cy="52120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16935</xdr:rowOff>
    </xdr:from>
    <xdr:to>
      <xdr:col>5</xdr:col>
      <xdr:colOff>609599</xdr:colOff>
      <xdr:row>99</xdr:row>
      <xdr:rowOff>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AA01930-B732-690C-9BFE-A766C6C55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933" y="13673668"/>
          <a:ext cx="5308599" cy="4825999"/>
        </a:xfrm>
        <a:prstGeom prst="rect">
          <a:avLst/>
        </a:prstGeom>
      </xdr:spPr>
    </xdr:pic>
    <xdr:clientData/>
  </xdr:twoCellAnchor>
  <xdr:twoCellAnchor editAs="oneCell">
    <xdr:from>
      <xdr:col>5</xdr:col>
      <xdr:colOff>886600</xdr:colOff>
      <xdr:row>72</xdr:row>
      <xdr:rowOff>183867</xdr:rowOff>
    </xdr:from>
    <xdr:to>
      <xdr:col>11</xdr:col>
      <xdr:colOff>1718733</xdr:colOff>
      <xdr:row>98</xdr:row>
      <xdr:rowOff>174077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24B6471-6611-2DF4-8B53-53CE5C165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7533" y="13654334"/>
          <a:ext cx="6665667" cy="48331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121920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EFE45108-0E76-7230-D0E4-D97FCF61CF01}"/>
            </a:ext>
          </a:extLst>
        </xdr:cNvPr>
        <xdr:cNvSpPr>
          <a:spLocks noChangeAspect="1" noChangeArrowheads="1"/>
        </xdr:cNvSpPr>
      </xdr:nvSpPr>
      <xdr:spPr bwMode="auto">
        <a:xfrm>
          <a:off x="175260" y="81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7619</xdr:rowOff>
    </xdr:from>
    <xdr:to>
      <xdr:col>4</xdr:col>
      <xdr:colOff>358140</xdr:colOff>
      <xdr:row>59</xdr:row>
      <xdr:rowOff>88470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603E35-A4AB-664B-C5F1-05F4AE37F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22919"/>
          <a:ext cx="3253740" cy="2824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6</xdr:col>
      <xdr:colOff>624839</xdr:colOff>
      <xdr:row>66</xdr:row>
      <xdr:rowOff>91128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E7582E-8A73-614A-FCE1-B2E356C18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6120" y="8115300"/>
          <a:ext cx="3268979" cy="4114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10</xdr:col>
      <xdr:colOff>411479</xdr:colOff>
      <xdr:row>66</xdr:row>
      <xdr:rowOff>94403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5549AF-42D9-0334-9392-2A4E9C371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8115300"/>
          <a:ext cx="2849879" cy="4117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AF93B8B-977A-4C28-A08D-0E0AAF8211EF}"/>
            </a:ext>
          </a:extLst>
        </xdr:cNvPr>
        <xdr:cNvSpPr>
          <a:spLocks noChangeAspect="1" noChangeArrowheads="1"/>
        </xdr:cNvSpPr>
      </xdr:nvSpPr>
      <xdr:spPr bwMode="auto">
        <a:xfrm>
          <a:off x="175260" y="81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304800</xdr:colOff>
      <xdr:row>53</xdr:row>
      <xdr:rowOff>121920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DEE573DE-DF6D-01C3-2EE0-342C1B5FD11A}"/>
            </a:ext>
          </a:extLst>
        </xdr:cNvPr>
        <xdr:cNvSpPr>
          <a:spLocks noChangeAspect="1" noChangeArrowheads="1"/>
        </xdr:cNvSpPr>
      </xdr:nvSpPr>
      <xdr:spPr bwMode="auto">
        <a:xfrm>
          <a:off x="784860" y="939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15241</xdr:colOff>
      <xdr:row>44</xdr:row>
      <xdr:rowOff>15241</xdr:rowOff>
    </xdr:from>
    <xdr:to>
      <xdr:col>4</xdr:col>
      <xdr:colOff>15241</xdr:colOff>
      <xdr:row>62</xdr:row>
      <xdr:rowOff>165029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9629C5-0F2B-6DAC-5F9D-82AE70970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1" y="8130541"/>
          <a:ext cx="3246120" cy="34416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F864ED3-3834-424C-8448-353FFB4A99A1}"/>
            </a:ext>
          </a:extLst>
        </xdr:cNvPr>
        <xdr:cNvSpPr>
          <a:spLocks noChangeAspect="1" noChangeArrowheads="1"/>
        </xdr:cNvSpPr>
      </xdr:nvSpPr>
      <xdr:spPr bwMode="auto">
        <a:xfrm>
          <a:off x="175260" y="81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304800</xdr:colOff>
      <xdr:row>45</xdr:row>
      <xdr:rowOff>121920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6AA24817-8B0E-44A2-B3B2-80ED9FB928AE}"/>
            </a:ext>
          </a:extLst>
        </xdr:cNvPr>
        <xdr:cNvSpPr>
          <a:spLocks noChangeAspect="1" noChangeArrowheads="1"/>
        </xdr:cNvSpPr>
      </xdr:nvSpPr>
      <xdr:spPr bwMode="auto">
        <a:xfrm>
          <a:off x="784860" y="957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96982</xdr:colOff>
      <xdr:row>45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3DAB239-30B0-4A15-9EFD-6AF91E2D6303}"/>
            </a:ext>
          </a:extLst>
        </xdr:cNvPr>
        <xdr:cNvSpPr>
          <a:spLocks noChangeAspect="1" noChangeArrowheads="1"/>
        </xdr:cNvSpPr>
      </xdr:nvSpPr>
      <xdr:spPr bwMode="auto">
        <a:xfrm>
          <a:off x="175260" y="81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304800</xdr:colOff>
      <xdr:row>45</xdr:row>
      <xdr:rowOff>121920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2BE1ECA7-9D80-4D91-ADA4-79B89B5C22ED}"/>
            </a:ext>
          </a:extLst>
        </xdr:cNvPr>
        <xdr:cNvSpPr>
          <a:spLocks noChangeAspect="1" noChangeArrowheads="1"/>
        </xdr:cNvSpPr>
      </xdr:nvSpPr>
      <xdr:spPr bwMode="auto">
        <a:xfrm>
          <a:off x="784860" y="81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96982</xdr:colOff>
      <xdr:row>45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2874CFE-A4DB-4D33-B13D-BD1143BC5F26}"/>
            </a:ext>
          </a:extLst>
        </xdr:cNvPr>
        <xdr:cNvSpPr>
          <a:spLocks noChangeAspect="1" noChangeArrowheads="1"/>
        </xdr:cNvSpPr>
      </xdr:nvSpPr>
      <xdr:spPr bwMode="auto">
        <a:xfrm>
          <a:off x="0" y="8115300"/>
          <a:ext cx="302722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304800</xdr:colOff>
      <xdr:row>45</xdr:row>
      <xdr:rowOff>121920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1B8E6366-E212-49A9-9733-B53A3EF19871}"/>
            </a:ext>
          </a:extLst>
        </xdr:cNvPr>
        <xdr:cNvSpPr>
          <a:spLocks noChangeAspect="1" noChangeArrowheads="1"/>
        </xdr:cNvSpPr>
      </xdr:nvSpPr>
      <xdr:spPr bwMode="auto">
        <a:xfrm>
          <a:off x="205740" y="81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304800</xdr:colOff>
      <xdr:row>47</xdr:row>
      <xdr:rowOff>121920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AB6DCC37-958E-6F9D-D07F-3AFAC10D7098}"/>
            </a:ext>
          </a:extLst>
        </xdr:cNvPr>
        <xdr:cNvSpPr>
          <a:spLocks noChangeAspect="1" noChangeArrowheads="1"/>
        </xdr:cNvSpPr>
      </xdr:nvSpPr>
      <xdr:spPr bwMode="auto">
        <a:xfrm>
          <a:off x="205740" y="848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</xdr:row>
      <xdr:rowOff>1</xdr:rowOff>
    </xdr:from>
    <xdr:to>
      <xdr:col>6</xdr:col>
      <xdr:colOff>316942</xdr:colOff>
      <xdr:row>82</xdr:row>
      <xdr:rowOff>55757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550B9B-07F7-CB16-60AF-B48182A6C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439" y="8586440"/>
          <a:ext cx="5000454" cy="6746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96982</xdr:colOff>
      <xdr:row>45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6A5E104-591E-4EB7-97D6-55B807466AB5}"/>
            </a:ext>
          </a:extLst>
        </xdr:cNvPr>
        <xdr:cNvSpPr>
          <a:spLocks noChangeAspect="1" noChangeArrowheads="1"/>
        </xdr:cNvSpPr>
      </xdr:nvSpPr>
      <xdr:spPr bwMode="auto">
        <a:xfrm>
          <a:off x="0" y="8115300"/>
          <a:ext cx="302722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304800</xdr:colOff>
      <xdr:row>45</xdr:row>
      <xdr:rowOff>121920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471B9F57-CD57-470A-9F84-60980CF684B5}"/>
            </a:ext>
          </a:extLst>
        </xdr:cNvPr>
        <xdr:cNvSpPr>
          <a:spLocks noChangeAspect="1" noChangeArrowheads="1"/>
        </xdr:cNvSpPr>
      </xdr:nvSpPr>
      <xdr:spPr bwMode="auto">
        <a:xfrm>
          <a:off x="205740" y="81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6</xdr:col>
      <xdr:colOff>9735</xdr:colOff>
      <xdr:row>79</xdr:row>
      <xdr:rowOff>144780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7ADCF3-47CA-1D21-F171-E9201B8A3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8481060"/>
          <a:ext cx="4650315" cy="6179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96981</xdr:colOff>
      <xdr:row>45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CF4E925-D0D1-4108-8BA9-2103CE2E7672}"/>
            </a:ext>
          </a:extLst>
        </xdr:cNvPr>
        <xdr:cNvSpPr>
          <a:spLocks noChangeAspect="1" noChangeArrowheads="1"/>
        </xdr:cNvSpPr>
      </xdr:nvSpPr>
      <xdr:spPr bwMode="auto">
        <a:xfrm>
          <a:off x="0" y="8115300"/>
          <a:ext cx="302722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304800</xdr:colOff>
      <xdr:row>45</xdr:row>
      <xdr:rowOff>121920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60E3C684-6601-40A2-99F2-2F6C20A981B3}"/>
            </a:ext>
          </a:extLst>
        </xdr:cNvPr>
        <xdr:cNvSpPr>
          <a:spLocks noChangeAspect="1" noChangeArrowheads="1"/>
        </xdr:cNvSpPr>
      </xdr:nvSpPr>
      <xdr:spPr bwMode="auto">
        <a:xfrm>
          <a:off x="205740" y="81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96982</xdr:colOff>
      <xdr:row>45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B384FAD-257C-4639-814A-93EB3E765B18}"/>
            </a:ext>
          </a:extLst>
        </xdr:cNvPr>
        <xdr:cNvSpPr>
          <a:spLocks noChangeAspect="1" noChangeArrowheads="1"/>
        </xdr:cNvSpPr>
      </xdr:nvSpPr>
      <xdr:spPr bwMode="auto">
        <a:xfrm>
          <a:off x="0" y="8115300"/>
          <a:ext cx="302722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304800</xdr:colOff>
      <xdr:row>45</xdr:row>
      <xdr:rowOff>121920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4EC59970-DCE6-4024-A7A7-4B0E8616C836}"/>
            </a:ext>
          </a:extLst>
        </xdr:cNvPr>
        <xdr:cNvSpPr>
          <a:spLocks noChangeAspect="1" noChangeArrowheads="1"/>
        </xdr:cNvSpPr>
      </xdr:nvSpPr>
      <xdr:spPr bwMode="auto">
        <a:xfrm>
          <a:off x="205740" y="81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96982</xdr:colOff>
      <xdr:row>45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CEB410D-5C46-413E-9837-B6DD42F6C03A}"/>
            </a:ext>
          </a:extLst>
        </xdr:cNvPr>
        <xdr:cNvSpPr>
          <a:spLocks noChangeAspect="1" noChangeArrowheads="1"/>
        </xdr:cNvSpPr>
      </xdr:nvSpPr>
      <xdr:spPr bwMode="auto">
        <a:xfrm>
          <a:off x="152400" y="8115300"/>
          <a:ext cx="302722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304800</xdr:colOff>
      <xdr:row>45</xdr:row>
      <xdr:rowOff>121920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F6A55E13-43C1-46C0-ACDF-2D01A7B9B7C2}"/>
            </a:ext>
          </a:extLst>
        </xdr:cNvPr>
        <xdr:cNvSpPr>
          <a:spLocks noChangeAspect="1" noChangeArrowheads="1"/>
        </xdr:cNvSpPr>
      </xdr:nvSpPr>
      <xdr:spPr bwMode="auto">
        <a:xfrm>
          <a:off x="358140" y="81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96982</xdr:colOff>
      <xdr:row>45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31D7556-7882-445F-9203-AA098A9BBBD9}"/>
            </a:ext>
          </a:extLst>
        </xdr:cNvPr>
        <xdr:cNvSpPr>
          <a:spLocks noChangeAspect="1" noChangeArrowheads="1"/>
        </xdr:cNvSpPr>
      </xdr:nvSpPr>
      <xdr:spPr bwMode="auto">
        <a:xfrm>
          <a:off x="152400" y="8115300"/>
          <a:ext cx="302722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304800</xdr:colOff>
      <xdr:row>45</xdr:row>
      <xdr:rowOff>121920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FAA9454-66BB-41C6-953E-DDD9272D08F2}"/>
            </a:ext>
          </a:extLst>
        </xdr:cNvPr>
        <xdr:cNvSpPr>
          <a:spLocks noChangeAspect="1" noChangeArrowheads="1"/>
        </xdr:cNvSpPr>
      </xdr:nvSpPr>
      <xdr:spPr bwMode="auto">
        <a:xfrm>
          <a:off x="358140" y="81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226736</xdr:colOff>
      <xdr:row>1</xdr:row>
      <xdr:rowOff>44390</xdr:rowOff>
    </xdr:from>
    <xdr:to>
      <xdr:col>6</xdr:col>
      <xdr:colOff>299787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16E3DF-4FC8-4150-A2CE-2CAFDF2B4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2636" y="227270"/>
          <a:ext cx="682650" cy="416620"/>
        </a:xfrm>
        <a:prstGeom prst="rect">
          <a:avLst/>
        </a:prstGeom>
      </xdr:spPr>
    </xdr:pic>
    <xdr:clientData/>
  </xdr:twoCellAnchor>
  <xdr:twoCellAnchor editAs="oneCell">
    <xdr:from>
      <xdr:col>2</xdr:col>
      <xdr:colOff>407633</xdr:colOff>
      <xdr:row>1</xdr:row>
      <xdr:rowOff>14224</xdr:rowOff>
    </xdr:from>
    <xdr:to>
      <xdr:col>3</xdr:col>
      <xdr:colOff>298039</xdr:colOff>
      <xdr:row>3</xdr:row>
      <xdr:rowOff>137633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5E20DA-D284-492A-A486-61F6D3C5E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3253" y="197104"/>
          <a:ext cx="500007" cy="489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18</xdr:col>
      <xdr:colOff>7327</xdr:colOff>
      <xdr:row>24</xdr:row>
      <xdr:rowOff>29308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9B2CA43-BDCF-405B-8906-15276F167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608133</xdr:colOff>
      <xdr:row>1</xdr:row>
      <xdr:rowOff>0</xdr:rowOff>
    </xdr:from>
    <xdr:to>
      <xdr:col>21</xdr:col>
      <xdr:colOff>608134</xdr:colOff>
      <xdr:row>24</xdr:row>
      <xdr:rowOff>36634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425C607-B6C9-4779-B0E6-5ACE0EE0BC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24</xdr:row>
      <xdr:rowOff>43961</xdr:rowOff>
    </xdr:from>
    <xdr:to>
      <xdr:col>17</xdr:col>
      <xdr:colOff>586154</xdr:colOff>
      <xdr:row>43</xdr:row>
      <xdr:rowOff>153866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630B472-9FCD-4069-AD8D-65606D6CC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2019300</xdr:colOff>
      <xdr:row>1</xdr:row>
      <xdr:rowOff>1</xdr:rowOff>
    </xdr:from>
    <xdr:to>
      <xdr:col>12</xdr:col>
      <xdr:colOff>551094</xdr:colOff>
      <xdr:row>19</xdr:row>
      <xdr:rowOff>175261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AF1B46-13FB-D650-6D61-251766ABD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182881"/>
          <a:ext cx="4848774" cy="3467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FF50-FA35-4C96-88F8-ECF8C33C6A1E}">
  <sheetPr codeName="Sheet2"/>
  <dimension ref="A1:S65"/>
  <sheetViews>
    <sheetView zoomScaleNormal="100" workbookViewId="0">
      <pane xSplit="13" ySplit="4" topLeftCell="CT5" activePane="bottomRight" state="frozen"/>
      <selection pane="topRight" activeCell="M1" sqref="M1"/>
      <selection pane="bottomLeft" activeCell="A5" sqref="A5"/>
      <selection pane="bottomRight" activeCell="D40" sqref="D40"/>
    </sheetView>
  </sheetViews>
  <sheetFormatPr defaultRowHeight="14.4" x14ac:dyDescent="0.3"/>
  <cols>
    <col min="1" max="1" width="2.109375" style="1" customWidth="1"/>
    <col min="2" max="2" width="3" style="6" bestFit="1" customWidth="1"/>
    <col min="3" max="3" width="10.33203125" style="6" bestFit="1" customWidth="1"/>
    <col min="4" max="4" width="25.109375" style="1" customWidth="1"/>
    <col min="5" max="5" width="18.44140625" style="1" customWidth="1"/>
    <col min="6" max="6" width="34.5546875" style="1" customWidth="1"/>
    <col min="7" max="7" width="10.33203125" style="1" bestFit="1" customWidth="1"/>
    <col min="8" max="8" width="12.109375" style="1" bestFit="1" customWidth="1"/>
    <col min="9" max="9" width="12.109375" style="1" customWidth="1"/>
    <col min="10" max="10" width="10.5546875" style="1" bestFit="1" customWidth="1"/>
    <col min="11" max="11" width="10.5546875" style="1" customWidth="1"/>
    <col min="12" max="12" width="19.44140625" style="1" customWidth="1"/>
    <col min="13" max="13" width="13.6640625" style="1" customWidth="1"/>
    <col min="14" max="14" width="22.5546875" style="1" customWidth="1"/>
    <col min="15" max="16384" width="8.88671875" style="1"/>
  </cols>
  <sheetData>
    <row r="1" spans="1:14" ht="16.2" thickBot="1" x14ac:dyDescent="0.35">
      <c r="A1" s="42"/>
      <c r="B1" s="186" t="s">
        <v>177</v>
      </c>
      <c r="C1" s="187"/>
      <c r="D1" s="187"/>
      <c r="E1" s="187"/>
      <c r="F1" s="188"/>
      <c r="G1" s="16" t="s">
        <v>25</v>
      </c>
      <c r="H1" s="176">
        <v>45076</v>
      </c>
      <c r="I1" s="177"/>
      <c r="J1" s="17" t="s">
        <v>15</v>
      </c>
      <c r="K1" s="189">
        <f>M2-E2</f>
        <v>-790524</v>
      </c>
      <c r="L1" s="190"/>
      <c r="M1" s="18"/>
      <c r="N1" s="19"/>
    </row>
    <row r="2" spans="1:14" ht="15.6" x14ac:dyDescent="0.3">
      <c r="A2" s="41"/>
      <c r="B2" s="191"/>
      <c r="C2" s="192"/>
      <c r="D2" s="13" t="s">
        <v>14</v>
      </c>
      <c r="E2" s="12">
        <f>SUM(E5:E30)</f>
        <v>2050924</v>
      </c>
      <c r="F2" s="20"/>
      <c r="G2" s="31" t="s">
        <v>32</v>
      </c>
      <c r="H2" s="178" t="s">
        <v>239</v>
      </c>
      <c r="I2" s="193"/>
      <c r="J2" s="37"/>
      <c r="K2" s="10"/>
      <c r="L2" s="11" t="s">
        <v>14</v>
      </c>
      <c r="M2" s="12">
        <f>SUM(M5:M30)</f>
        <v>1260400</v>
      </c>
      <c r="N2" s="20"/>
    </row>
    <row r="3" spans="1:14" x14ac:dyDescent="0.3">
      <c r="B3" s="194" t="s">
        <v>36</v>
      </c>
      <c r="C3" s="195"/>
      <c r="D3" s="196"/>
      <c r="E3" s="196"/>
      <c r="F3" s="197"/>
      <c r="G3" s="180" t="s">
        <v>33</v>
      </c>
      <c r="H3" s="181"/>
      <c r="I3" s="181"/>
      <c r="J3" s="194" t="s">
        <v>37</v>
      </c>
      <c r="K3" s="195"/>
      <c r="L3" s="196"/>
      <c r="M3" s="196"/>
      <c r="N3" s="197"/>
    </row>
    <row r="4" spans="1:14" x14ac:dyDescent="0.3">
      <c r="A4" s="3"/>
      <c r="B4" s="40" t="s">
        <v>0</v>
      </c>
      <c r="C4" s="2" t="s">
        <v>3</v>
      </c>
      <c r="D4" s="3" t="s">
        <v>1</v>
      </c>
      <c r="E4" s="3" t="s">
        <v>13</v>
      </c>
      <c r="F4" s="22" t="s">
        <v>2</v>
      </c>
      <c r="G4" s="21" t="s">
        <v>3</v>
      </c>
      <c r="H4" s="198" t="s">
        <v>26</v>
      </c>
      <c r="I4" s="199"/>
      <c r="J4" s="21" t="s">
        <v>0</v>
      </c>
      <c r="K4" s="2" t="s">
        <v>3</v>
      </c>
      <c r="L4" s="3" t="s">
        <v>1</v>
      </c>
      <c r="M4" s="3" t="s">
        <v>13</v>
      </c>
      <c r="N4" s="22" t="s">
        <v>2</v>
      </c>
    </row>
    <row r="5" spans="1:14" x14ac:dyDescent="0.3">
      <c r="A5" s="15"/>
      <c r="B5" s="40">
        <v>1</v>
      </c>
      <c r="C5" s="7">
        <v>45025</v>
      </c>
      <c r="D5" s="8" t="s">
        <v>4</v>
      </c>
      <c r="E5" s="9">
        <v>200000</v>
      </c>
      <c r="F5" s="23" t="s">
        <v>5</v>
      </c>
      <c r="G5" s="43">
        <v>45126</v>
      </c>
      <c r="H5" s="44">
        <v>120</v>
      </c>
      <c r="I5" s="47" t="str">
        <f>IF(ISBLANK(G5),"",CONCATENATE(G5-$H$1+1," days"))</f>
        <v>51 days</v>
      </c>
      <c r="J5" s="21">
        <v>1</v>
      </c>
      <c r="K5" s="4">
        <v>45150</v>
      </c>
      <c r="L5" s="3" t="s">
        <v>39</v>
      </c>
      <c r="M5" s="5">
        <v>940000</v>
      </c>
      <c r="N5" s="22" t="s">
        <v>40</v>
      </c>
    </row>
    <row r="6" spans="1:14" x14ac:dyDescent="0.3">
      <c r="A6" s="15"/>
      <c r="B6" s="40">
        <v>2</v>
      </c>
      <c r="C6" s="7">
        <v>45027</v>
      </c>
      <c r="D6" s="8" t="s">
        <v>287</v>
      </c>
      <c r="E6" s="9">
        <v>21401</v>
      </c>
      <c r="F6" s="23"/>
      <c r="G6" s="43">
        <v>45133</v>
      </c>
      <c r="H6" s="44">
        <v>108</v>
      </c>
      <c r="I6" s="47" t="str">
        <f t="shared" ref="I6:I8" si="0">IF(ISBLANK(G6),"",CONCATENATE(G6-$H$1+1," days"))</f>
        <v>58 days</v>
      </c>
      <c r="J6" s="21">
        <v>2</v>
      </c>
      <c r="K6" s="4">
        <v>45173</v>
      </c>
      <c r="L6" s="3" t="s">
        <v>46</v>
      </c>
      <c r="M6" s="5">
        <v>320400</v>
      </c>
      <c r="N6" s="22" t="s">
        <v>47</v>
      </c>
    </row>
    <row r="7" spans="1:14" x14ac:dyDescent="0.3">
      <c r="A7" s="15"/>
      <c r="B7" s="40">
        <v>3</v>
      </c>
      <c r="C7" s="7">
        <v>45029</v>
      </c>
      <c r="D7" s="3" t="s">
        <v>6</v>
      </c>
      <c r="E7" s="5">
        <v>64000</v>
      </c>
      <c r="F7" s="22" t="s">
        <v>7</v>
      </c>
      <c r="G7" s="43">
        <v>45140</v>
      </c>
      <c r="H7" s="44">
        <v>92</v>
      </c>
      <c r="I7" s="47" t="str">
        <f t="shared" si="0"/>
        <v>65 days</v>
      </c>
      <c r="J7" s="21">
        <v>3</v>
      </c>
      <c r="K7" s="2"/>
      <c r="L7" s="3"/>
      <c r="M7" s="5"/>
      <c r="N7" s="22"/>
    </row>
    <row r="8" spans="1:14" x14ac:dyDescent="0.3">
      <c r="A8" s="15"/>
      <c r="B8" s="40">
        <v>4</v>
      </c>
      <c r="C8" s="7">
        <v>45029</v>
      </c>
      <c r="D8" s="3" t="s">
        <v>288</v>
      </c>
      <c r="E8" s="5">
        <v>30400</v>
      </c>
      <c r="F8" s="22"/>
      <c r="G8" s="46">
        <v>45150</v>
      </c>
      <c r="H8" s="44">
        <v>80</v>
      </c>
      <c r="I8" s="47" t="str">
        <f t="shared" si="0"/>
        <v>75 days</v>
      </c>
      <c r="J8" s="21">
        <v>4</v>
      </c>
      <c r="K8" s="2"/>
      <c r="L8" s="3"/>
      <c r="M8" s="5"/>
      <c r="N8" s="22"/>
    </row>
    <row r="9" spans="1:14" x14ac:dyDescent="0.3">
      <c r="A9" s="15"/>
      <c r="B9" s="40">
        <v>5</v>
      </c>
      <c r="C9" s="7">
        <v>45029</v>
      </c>
      <c r="D9" s="3" t="s">
        <v>8</v>
      </c>
      <c r="E9" s="5">
        <v>47000</v>
      </c>
      <c r="F9" s="22" t="s">
        <v>9</v>
      </c>
      <c r="G9" s="46"/>
      <c r="H9" s="44"/>
      <c r="I9" s="47"/>
      <c r="J9" s="21">
        <v>5</v>
      </c>
      <c r="K9" s="2"/>
      <c r="L9" s="3"/>
      <c r="M9" s="5"/>
      <c r="N9" s="22"/>
    </row>
    <row r="10" spans="1:14" x14ac:dyDescent="0.3">
      <c r="A10" s="15"/>
      <c r="B10" s="40">
        <v>6</v>
      </c>
      <c r="C10" s="7">
        <v>45029</v>
      </c>
      <c r="D10" s="3" t="s">
        <v>10</v>
      </c>
      <c r="E10" s="5">
        <v>17302</v>
      </c>
      <c r="F10" s="22"/>
      <c r="G10" s="32"/>
      <c r="H10" s="44"/>
      <c r="I10" s="47"/>
      <c r="J10" s="21">
        <v>6</v>
      </c>
      <c r="K10" s="2"/>
      <c r="L10" s="3"/>
      <c r="M10" s="5"/>
      <c r="N10" s="22"/>
    </row>
    <row r="11" spans="1:14" x14ac:dyDescent="0.3">
      <c r="A11" s="15"/>
      <c r="B11" s="40">
        <v>7</v>
      </c>
      <c r="C11" s="4">
        <v>45056</v>
      </c>
      <c r="D11" s="3" t="s">
        <v>11</v>
      </c>
      <c r="E11" s="5">
        <v>23500</v>
      </c>
      <c r="F11" s="22" t="s">
        <v>12</v>
      </c>
      <c r="G11" s="32"/>
      <c r="H11" s="44"/>
      <c r="I11" s="47"/>
      <c r="J11" s="21">
        <v>7</v>
      </c>
      <c r="K11" s="2"/>
      <c r="L11" s="3"/>
      <c r="M11" s="5"/>
      <c r="N11" s="22"/>
    </row>
    <row r="12" spans="1:14" ht="15" thickBot="1" x14ac:dyDescent="0.35">
      <c r="A12" s="15"/>
      <c r="B12" s="40">
        <v>8</v>
      </c>
      <c r="C12" s="4">
        <v>45062</v>
      </c>
      <c r="D12" s="3" t="s">
        <v>16</v>
      </c>
      <c r="E12" s="5">
        <v>12700</v>
      </c>
      <c r="F12" s="22"/>
      <c r="G12" s="173" t="s">
        <v>41</v>
      </c>
      <c r="H12" s="174"/>
      <c r="I12" s="175"/>
      <c r="J12" s="21">
        <v>8</v>
      </c>
      <c r="K12" s="2"/>
      <c r="L12" s="3"/>
      <c r="M12" s="5"/>
      <c r="N12" s="22"/>
    </row>
    <row r="13" spans="1:14" ht="15" thickBot="1" x14ac:dyDescent="0.35">
      <c r="A13" s="15"/>
      <c r="B13" s="40">
        <v>9</v>
      </c>
      <c r="C13" s="4">
        <v>45065</v>
      </c>
      <c r="D13" s="3" t="s">
        <v>17</v>
      </c>
      <c r="E13" s="5">
        <v>198000</v>
      </c>
      <c r="F13" s="22" t="s">
        <v>18</v>
      </c>
      <c r="G13" s="16" t="s">
        <v>25</v>
      </c>
      <c r="H13" s="30">
        <v>45114</v>
      </c>
      <c r="I13" s="48"/>
      <c r="J13" s="21">
        <v>9</v>
      </c>
      <c r="K13" s="2"/>
      <c r="L13" s="3"/>
      <c r="M13" s="5"/>
      <c r="N13" s="22"/>
    </row>
    <row r="14" spans="1:14" x14ac:dyDescent="0.3">
      <c r="A14" s="15"/>
      <c r="B14" s="40">
        <v>10</v>
      </c>
      <c r="C14" s="4">
        <v>45065</v>
      </c>
      <c r="D14" s="3" t="s">
        <v>289</v>
      </c>
      <c r="E14" s="5">
        <v>58980</v>
      </c>
      <c r="F14" s="22"/>
      <c r="G14" s="31" t="s">
        <v>32</v>
      </c>
      <c r="H14" s="178" t="s">
        <v>240</v>
      </c>
      <c r="I14" s="193"/>
      <c r="J14" s="21">
        <v>10</v>
      </c>
      <c r="K14" s="2"/>
      <c r="L14" s="3"/>
      <c r="M14" s="5"/>
      <c r="N14" s="22"/>
    </row>
    <row r="15" spans="1:14" x14ac:dyDescent="0.3">
      <c r="A15" s="15"/>
      <c r="B15" s="40">
        <v>11</v>
      </c>
      <c r="C15" s="4">
        <v>45074</v>
      </c>
      <c r="D15" s="3" t="s">
        <v>19</v>
      </c>
      <c r="E15" s="5">
        <v>150000</v>
      </c>
      <c r="F15" s="22" t="s">
        <v>20</v>
      </c>
      <c r="G15" s="180" t="s">
        <v>33</v>
      </c>
      <c r="H15" s="181"/>
      <c r="I15" s="181"/>
      <c r="J15" s="21">
        <v>11</v>
      </c>
      <c r="K15" s="2"/>
      <c r="L15" s="3"/>
      <c r="M15" s="5"/>
      <c r="N15" s="22"/>
    </row>
    <row r="16" spans="1:14" x14ac:dyDescent="0.3">
      <c r="A16" s="15"/>
      <c r="B16" s="40">
        <v>12</v>
      </c>
      <c r="C16" s="4">
        <v>45074</v>
      </c>
      <c r="D16" s="3" t="s">
        <v>21</v>
      </c>
      <c r="E16" s="5">
        <v>9000</v>
      </c>
      <c r="F16" s="22" t="s">
        <v>22</v>
      </c>
      <c r="G16" s="21" t="s">
        <v>3</v>
      </c>
      <c r="H16" s="198" t="s">
        <v>26</v>
      </c>
      <c r="I16" s="199"/>
      <c r="J16" s="21">
        <v>12</v>
      </c>
      <c r="K16" s="2"/>
      <c r="L16" s="3"/>
      <c r="M16" s="5"/>
      <c r="N16" s="22"/>
    </row>
    <row r="17" spans="1:19" x14ac:dyDescent="0.3">
      <c r="A17" s="15"/>
      <c r="B17" s="40">
        <v>13</v>
      </c>
      <c r="C17" s="4">
        <v>45061</v>
      </c>
      <c r="D17" s="3" t="s">
        <v>23</v>
      </c>
      <c r="E17" s="5">
        <v>120000</v>
      </c>
      <c r="F17" s="22" t="s">
        <v>24</v>
      </c>
      <c r="G17" s="43">
        <v>45163</v>
      </c>
      <c r="H17" s="44">
        <v>115</v>
      </c>
      <c r="I17" s="47" t="str">
        <f>IF(ISBLANK(G17),"",CONCATENATE(G17-$H$13+1," days"))</f>
        <v>50 days</v>
      </c>
      <c r="J17" s="21">
        <v>13</v>
      </c>
      <c r="K17" s="2"/>
      <c r="L17" s="3"/>
      <c r="M17" s="5"/>
      <c r="N17" s="22"/>
    </row>
    <row r="18" spans="1:19" x14ac:dyDescent="0.3">
      <c r="A18" s="15"/>
      <c r="B18" s="40">
        <v>14</v>
      </c>
      <c r="C18" s="4">
        <v>45090</v>
      </c>
      <c r="D18" s="3" t="s">
        <v>27</v>
      </c>
      <c r="E18" s="5">
        <v>43050</v>
      </c>
      <c r="F18" s="22" t="s">
        <v>28</v>
      </c>
      <c r="G18" s="43">
        <v>45169</v>
      </c>
      <c r="H18" s="44">
        <v>105</v>
      </c>
      <c r="I18" s="47" t="str">
        <f t="shared" ref="I18:I20" si="1">IF(ISBLANK(G18),"",CONCATENATE(G18-$H$13+1," days"))</f>
        <v>56 days</v>
      </c>
      <c r="J18" s="21">
        <v>14</v>
      </c>
      <c r="K18" s="2"/>
      <c r="L18" s="3"/>
      <c r="M18" s="5"/>
      <c r="N18" s="22"/>
    </row>
    <row r="19" spans="1:19" x14ac:dyDescent="0.3">
      <c r="A19" s="15"/>
      <c r="B19" s="40">
        <v>15</v>
      </c>
      <c r="C19" s="4">
        <v>45093</v>
      </c>
      <c r="D19" s="3" t="s">
        <v>29</v>
      </c>
      <c r="E19" s="5">
        <v>24768</v>
      </c>
      <c r="F19" s="22" t="s">
        <v>30</v>
      </c>
      <c r="G19" s="43">
        <v>45171</v>
      </c>
      <c r="H19" s="44">
        <v>100</v>
      </c>
      <c r="I19" s="47" t="str">
        <f t="shared" si="1"/>
        <v>58 days</v>
      </c>
      <c r="J19" s="21">
        <v>15</v>
      </c>
      <c r="K19" s="2"/>
      <c r="L19" s="3"/>
      <c r="M19" s="5"/>
      <c r="N19" s="22"/>
    </row>
    <row r="20" spans="1:19" x14ac:dyDescent="0.3">
      <c r="A20" s="15"/>
      <c r="B20" s="40">
        <v>16</v>
      </c>
      <c r="C20" s="4">
        <v>45100</v>
      </c>
      <c r="D20" s="3" t="s">
        <v>34</v>
      </c>
      <c r="E20" s="5">
        <v>42650</v>
      </c>
      <c r="F20" s="22" t="s">
        <v>35</v>
      </c>
      <c r="G20" s="46">
        <v>45173</v>
      </c>
      <c r="H20" s="44">
        <v>87</v>
      </c>
      <c r="I20" s="47" t="str">
        <f t="shared" si="1"/>
        <v>60 days</v>
      </c>
      <c r="J20" s="21">
        <v>16</v>
      </c>
      <c r="K20" s="2"/>
      <c r="L20" s="3"/>
      <c r="M20" s="5"/>
      <c r="N20" s="22"/>
    </row>
    <row r="21" spans="1:19" x14ac:dyDescent="0.3">
      <c r="A21" s="15"/>
      <c r="B21" s="40">
        <v>17</v>
      </c>
      <c r="C21" s="4">
        <v>45105</v>
      </c>
      <c r="D21" s="3" t="s">
        <v>50</v>
      </c>
      <c r="E21" s="5">
        <v>120000</v>
      </c>
      <c r="F21" s="22" t="s">
        <v>51</v>
      </c>
      <c r="G21" s="46"/>
      <c r="H21" s="44"/>
      <c r="I21" s="47"/>
      <c r="J21" s="21">
        <v>17</v>
      </c>
      <c r="K21" s="2"/>
      <c r="L21" s="3"/>
      <c r="M21" s="5"/>
      <c r="N21" s="22"/>
    </row>
    <row r="22" spans="1:19" x14ac:dyDescent="0.3">
      <c r="A22" s="15"/>
      <c r="B22" s="40">
        <v>18</v>
      </c>
      <c r="C22" s="4">
        <v>45123</v>
      </c>
      <c r="D22" s="3" t="s">
        <v>29</v>
      </c>
      <c r="E22" s="5">
        <v>25193</v>
      </c>
      <c r="F22" s="22" t="s">
        <v>38</v>
      </c>
      <c r="G22" s="44"/>
      <c r="H22" s="44"/>
      <c r="I22" s="47" t="str">
        <f t="shared" ref="I22" si="2">IF(ISBLANK(G22),"",CONCATENATE("(",G22-$H$13+1," days)"))</f>
        <v/>
      </c>
      <c r="J22" s="21">
        <v>18</v>
      </c>
      <c r="K22" s="2"/>
      <c r="L22" s="3"/>
      <c r="M22" s="5"/>
      <c r="N22" s="22"/>
    </row>
    <row r="23" spans="1:19" x14ac:dyDescent="0.3">
      <c r="A23" s="15"/>
      <c r="B23" s="40">
        <v>19</v>
      </c>
      <c r="C23" s="4">
        <v>45150</v>
      </c>
      <c r="D23" s="3" t="s">
        <v>42</v>
      </c>
      <c r="E23" s="5">
        <v>20000</v>
      </c>
      <c r="F23" s="22"/>
      <c r="G23" s="44"/>
      <c r="H23" s="44"/>
      <c r="I23" s="47"/>
      <c r="J23" s="21">
        <v>19</v>
      </c>
      <c r="K23" s="2"/>
      <c r="L23" s="3"/>
      <c r="M23" s="5"/>
      <c r="N23" s="22"/>
    </row>
    <row r="24" spans="1:19" x14ac:dyDescent="0.3">
      <c r="A24" s="15"/>
      <c r="B24" s="40">
        <v>20</v>
      </c>
      <c r="C24" s="46">
        <v>45150</v>
      </c>
      <c r="D24" s="3" t="s">
        <v>49</v>
      </c>
      <c r="E24" s="5">
        <v>140000</v>
      </c>
      <c r="F24" s="22"/>
      <c r="G24" s="44"/>
      <c r="H24" s="44"/>
      <c r="I24" s="47"/>
      <c r="J24" s="21">
        <v>20</v>
      </c>
      <c r="K24" s="2"/>
      <c r="L24" s="3"/>
      <c r="M24" s="5"/>
      <c r="N24" s="22"/>
      <c r="S24" s="14"/>
    </row>
    <row r="25" spans="1:19" x14ac:dyDescent="0.3">
      <c r="A25" s="15"/>
      <c r="B25" s="40">
        <v>21</v>
      </c>
      <c r="C25" s="46">
        <v>45150</v>
      </c>
      <c r="D25" s="3" t="s">
        <v>31</v>
      </c>
      <c r="E25" s="5">
        <v>30000</v>
      </c>
      <c r="F25" s="22" t="s">
        <v>52</v>
      </c>
      <c r="G25" s="32"/>
      <c r="H25" s="44"/>
      <c r="I25" s="47"/>
      <c r="J25" s="21">
        <v>21</v>
      </c>
      <c r="K25" s="2"/>
      <c r="L25" s="3"/>
      <c r="M25" s="5"/>
      <c r="N25" s="22"/>
      <c r="S25" s="14"/>
    </row>
    <row r="26" spans="1:19" x14ac:dyDescent="0.3">
      <c r="A26" s="15"/>
      <c r="B26" s="40">
        <v>22</v>
      </c>
      <c r="C26" s="46">
        <v>45150</v>
      </c>
      <c r="D26" s="3" t="s">
        <v>48</v>
      </c>
      <c r="E26" s="5">
        <v>600000</v>
      </c>
      <c r="G26" s="32"/>
      <c r="H26" s="44"/>
      <c r="I26" s="47"/>
      <c r="J26" s="21">
        <v>22</v>
      </c>
      <c r="K26" s="2"/>
      <c r="L26" s="3"/>
      <c r="M26" s="5"/>
      <c r="N26" s="22"/>
      <c r="S26" s="14"/>
    </row>
    <row r="27" spans="1:19" x14ac:dyDescent="0.3">
      <c r="A27" s="15"/>
      <c r="B27" s="40">
        <v>23</v>
      </c>
      <c r="C27" s="4">
        <v>45154</v>
      </c>
      <c r="D27" s="3" t="s">
        <v>73</v>
      </c>
      <c r="E27" s="5">
        <v>52980</v>
      </c>
      <c r="F27" s="22"/>
      <c r="G27" s="32"/>
      <c r="H27" s="44"/>
      <c r="I27" s="47"/>
      <c r="J27" s="21">
        <v>23</v>
      </c>
      <c r="K27" s="2"/>
      <c r="L27" s="3"/>
      <c r="M27" s="5"/>
      <c r="N27" s="22"/>
    </row>
    <row r="28" spans="1:19" x14ac:dyDescent="0.3">
      <c r="A28" s="15"/>
      <c r="B28" s="40">
        <v>24</v>
      </c>
      <c r="C28" s="4"/>
      <c r="D28" s="3"/>
      <c r="E28" s="5"/>
      <c r="F28" s="22"/>
      <c r="G28" s="32"/>
      <c r="H28" s="44"/>
      <c r="I28" s="47"/>
      <c r="J28" s="21">
        <v>24</v>
      </c>
      <c r="K28" s="2"/>
      <c r="L28" s="3"/>
      <c r="M28" s="5"/>
      <c r="N28" s="22"/>
    </row>
    <row r="29" spans="1:19" x14ac:dyDescent="0.3">
      <c r="A29" s="15"/>
      <c r="B29" s="40">
        <v>25</v>
      </c>
      <c r="C29" s="4"/>
      <c r="D29" s="3"/>
      <c r="E29" s="5"/>
      <c r="F29" s="22"/>
      <c r="G29" s="32"/>
      <c r="H29" s="44"/>
      <c r="I29" s="47"/>
      <c r="J29" s="21">
        <v>25</v>
      </c>
      <c r="K29" s="2"/>
      <c r="L29" s="3"/>
      <c r="M29" s="5"/>
      <c r="N29" s="22"/>
    </row>
    <row r="30" spans="1:19" x14ac:dyDescent="0.3">
      <c r="A30" s="15"/>
      <c r="B30" s="40">
        <v>26</v>
      </c>
      <c r="C30" s="4"/>
      <c r="D30" s="3"/>
      <c r="E30" s="5"/>
      <c r="F30" s="22"/>
      <c r="G30" s="32"/>
      <c r="H30" s="44"/>
      <c r="I30" s="47"/>
      <c r="J30" s="21">
        <v>26</v>
      </c>
      <c r="K30" s="2"/>
      <c r="L30" s="3"/>
      <c r="M30" s="5"/>
      <c r="N30" s="22"/>
    </row>
    <row r="31" spans="1:19" x14ac:dyDescent="0.3">
      <c r="B31" s="24"/>
      <c r="C31" s="25"/>
      <c r="E31" s="64" t="s">
        <v>65</v>
      </c>
      <c r="F31" s="63">
        <v>700000</v>
      </c>
      <c r="G31" s="90" t="s">
        <v>186</v>
      </c>
      <c r="H31" s="125">
        <v>600000</v>
      </c>
      <c r="I31" s="59" t="s">
        <v>187</v>
      </c>
      <c r="J31" s="59">
        <v>10000</v>
      </c>
    </row>
    <row r="32" spans="1:19" x14ac:dyDescent="0.3">
      <c r="B32" s="24"/>
      <c r="C32" s="25"/>
      <c r="E32" s="59" t="s">
        <v>62</v>
      </c>
      <c r="F32" s="90" t="s">
        <v>54</v>
      </c>
      <c r="G32" s="90" t="s">
        <v>26</v>
      </c>
      <c r="H32" s="90" t="s">
        <v>95</v>
      </c>
      <c r="I32" s="90" t="s">
        <v>63</v>
      </c>
      <c r="J32" s="90" t="s">
        <v>64</v>
      </c>
      <c r="K32" s="90"/>
    </row>
    <row r="33" spans="4:13" x14ac:dyDescent="0.3">
      <c r="E33" s="15" t="s">
        <v>298</v>
      </c>
      <c r="F33" s="57">
        <f>H33*G33</f>
        <v>320000</v>
      </c>
      <c r="G33" s="57">
        <v>80</v>
      </c>
      <c r="H33" s="65">
        <v>4000</v>
      </c>
      <c r="I33" s="60">
        <v>235</v>
      </c>
      <c r="J33" s="137">
        <f>H33*I33</f>
        <v>940000</v>
      </c>
      <c r="K33" s="137"/>
      <c r="L33" s="6"/>
    </row>
    <row r="34" spans="4:13" x14ac:dyDescent="0.3">
      <c r="E34" s="15" t="s">
        <v>57</v>
      </c>
      <c r="F34" s="57">
        <f t="shared" ref="F34:F39" si="3">H34*G34</f>
        <v>104400</v>
      </c>
      <c r="G34" s="57">
        <v>87</v>
      </c>
      <c r="H34" s="65">
        <v>1200</v>
      </c>
      <c r="I34" s="60">
        <v>267</v>
      </c>
      <c r="J34" s="137">
        <f t="shared" ref="J34:J39" si="4">H34*I34</f>
        <v>320400</v>
      </c>
      <c r="K34" s="137"/>
      <c r="L34" s="6"/>
    </row>
    <row r="35" spans="4:13" x14ac:dyDescent="0.3">
      <c r="E35" s="15"/>
      <c r="F35" s="57">
        <f t="shared" si="3"/>
        <v>0</v>
      </c>
      <c r="G35" s="57"/>
      <c r="H35" s="65"/>
      <c r="I35" s="60"/>
      <c r="J35" s="137">
        <f t="shared" si="4"/>
        <v>0</v>
      </c>
      <c r="K35" s="137"/>
      <c r="L35" s="6"/>
    </row>
    <row r="36" spans="4:13" x14ac:dyDescent="0.3">
      <c r="E36" s="15"/>
      <c r="F36" s="57">
        <f t="shared" si="3"/>
        <v>0</v>
      </c>
      <c r="G36" s="57"/>
      <c r="H36" s="65"/>
      <c r="I36" s="60"/>
      <c r="J36" s="137">
        <f t="shared" si="4"/>
        <v>0</v>
      </c>
      <c r="K36" s="137"/>
      <c r="L36" s="6"/>
    </row>
    <row r="37" spans="4:13" x14ac:dyDescent="0.3">
      <c r="E37" s="15"/>
      <c r="F37" s="57">
        <f t="shared" si="3"/>
        <v>0</v>
      </c>
      <c r="G37" s="57"/>
      <c r="H37" s="65"/>
      <c r="I37" s="60"/>
      <c r="J37" s="137">
        <f t="shared" si="4"/>
        <v>0</v>
      </c>
      <c r="K37" s="137"/>
      <c r="L37" s="6"/>
    </row>
    <row r="38" spans="4:13" x14ac:dyDescent="0.3">
      <c r="E38" s="15"/>
      <c r="F38" s="57">
        <f t="shared" si="3"/>
        <v>0</v>
      </c>
      <c r="G38" s="57"/>
      <c r="H38" s="65"/>
      <c r="I38" s="60"/>
      <c r="J38" s="137">
        <f t="shared" si="4"/>
        <v>0</v>
      </c>
      <c r="K38" s="137"/>
      <c r="L38" s="6"/>
    </row>
    <row r="39" spans="4:13" x14ac:dyDescent="0.3">
      <c r="E39" s="15"/>
      <c r="F39" s="57">
        <f t="shared" si="3"/>
        <v>0</v>
      </c>
      <c r="G39" s="57"/>
      <c r="H39" s="65"/>
      <c r="I39" s="60"/>
      <c r="J39" s="137">
        <f t="shared" si="4"/>
        <v>0</v>
      </c>
      <c r="K39" s="137"/>
      <c r="L39" s="6"/>
    </row>
    <row r="40" spans="4:13" x14ac:dyDescent="0.3">
      <c r="E40" s="50" t="s">
        <v>61</v>
      </c>
      <c r="F40" s="58">
        <f>SUM(F33:F38)</f>
        <v>424400</v>
      </c>
      <c r="G40" s="58"/>
      <c r="H40" s="58">
        <f>SUM(H33:H39)</f>
        <v>5200</v>
      </c>
      <c r="I40" s="50"/>
      <c r="J40" s="138">
        <f>SUM(J33:J39)</f>
        <v>1260400</v>
      </c>
      <c r="K40" s="138"/>
      <c r="L40" s="6"/>
    </row>
    <row r="41" spans="4:13" x14ac:dyDescent="0.3">
      <c r="E41" s="50" t="s">
        <v>126</v>
      </c>
      <c r="F41" s="105" t="str">
        <f>CONCATENATE(ROUND((F40/F31)*100,2),"%")</f>
        <v>60.63%</v>
      </c>
      <c r="G41" s="15"/>
      <c r="H41" s="56"/>
      <c r="I41" s="15"/>
      <c r="J41" s="83"/>
      <c r="K41" s="83"/>
      <c r="L41" s="6"/>
      <c r="M41" s="26">
        <f>SUM(M33:M40)</f>
        <v>0</v>
      </c>
    </row>
    <row r="42" spans="4:13" x14ac:dyDescent="0.3">
      <c r="D42" s="39"/>
      <c r="L42" s="66" t="s">
        <v>70</v>
      </c>
      <c r="M42" s="39">
        <f>J40-M41</f>
        <v>1260400</v>
      </c>
    </row>
    <row r="53" spans="7:7" x14ac:dyDescent="0.3">
      <c r="G53" s="39"/>
    </row>
    <row r="54" spans="7:7" x14ac:dyDescent="0.3">
      <c r="G54" s="39"/>
    </row>
    <row r="55" spans="7:7" x14ac:dyDescent="0.3">
      <c r="G55" s="14"/>
    </row>
    <row r="65" spans="6:6" x14ac:dyDescent="0.3">
      <c r="F65" s="39"/>
    </row>
  </sheetData>
  <mergeCells count="13">
    <mergeCell ref="H16:I16"/>
    <mergeCell ref="G12:I12"/>
    <mergeCell ref="B3:F3"/>
    <mergeCell ref="J3:N3"/>
    <mergeCell ref="B1:F1"/>
    <mergeCell ref="K1:L1"/>
    <mergeCell ref="B2:C2"/>
    <mergeCell ref="H1:I1"/>
    <mergeCell ref="H2:I2"/>
    <mergeCell ref="G3:I3"/>
    <mergeCell ref="H4:I4"/>
    <mergeCell ref="G15:I15"/>
    <mergeCell ref="H14:I14"/>
  </mergeCells>
  <conditionalFormatting sqref="D5:D30">
    <cfRule type="duplicateValues" dxfId="81" priority="59"/>
  </conditionalFormatting>
  <conditionalFormatting sqref="E5:E30">
    <cfRule type="duplicateValues" dxfId="80" priority="60"/>
  </conditionalFormatting>
  <conditionalFormatting sqref="K1:L1">
    <cfRule type="cellIs" dxfId="79" priority="6" operator="greaterThan">
      <formula>0</formula>
    </cfRule>
    <cfRule type="cellIs" dxfId="78" priority="7" operator="lessThan">
      <formula>0</formula>
    </cfRule>
  </conditionalFormatting>
  <conditionalFormatting sqref="L5:L30">
    <cfRule type="duplicateValues" dxfId="77" priority="54"/>
  </conditionalFormatting>
  <conditionalFormatting sqref="M5:M30">
    <cfRule type="duplicateValues" dxfId="76" priority="55"/>
  </conditionalFormatting>
  <conditionalFormatting sqref="S24:S26">
    <cfRule type="duplicateValues" dxfId="75" priority="1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  <ignoredErrors>
    <ignoredError sqref="K1 E2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BC4C8-2B77-4062-93D2-92ECB3C7BB14}">
  <dimension ref="A1:S65"/>
  <sheetViews>
    <sheetView zoomScaleNormal="100" workbookViewId="0">
      <pane xSplit="13" ySplit="4" topLeftCell="N21" activePane="bottomRight" state="frozen"/>
      <selection pane="topRight" activeCell="M1" sqref="M1"/>
      <selection pane="bottomLeft" activeCell="A5" sqref="A5"/>
      <selection pane="bottomRight" activeCell="D40" sqref="D40"/>
    </sheetView>
  </sheetViews>
  <sheetFormatPr defaultRowHeight="14.4" x14ac:dyDescent="0.3"/>
  <cols>
    <col min="1" max="1" width="1.6640625" style="1" customWidth="1"/>
    <col min="2" max="2" width="3" style="6" bestFit="1" customWidth="1"/>
    <col min="3" max="3" width="10.33203125" style="6" bestFit="1" customWidth="1"/>
    <col min="4" max="4" width="25.109375" style="1" customWidth="1"/>
    <col min="5" max="5" width="18.44140625" style="1" customWidth="1"/>
    <col min="6" max="6" width="33.33203125" style="1" customWidth="1"/>
    <col min="7" max="7" width="10.33203125" style="1" bestFit="1" customWidth="1"/>
    <col min="8" max="8" width="12.109375" style="1" bestFit="1" customWidth="1"/>
    <col min="9" max="9" width="12.109375" style="1" customWidth="1"/>
    <col min="10" max="10" width="9.5546875" style="1" bestFit="1" customWidth="1"/>
    <col min="11" max="11" width="10.5546875" style="1" customWidth="1"/>
    <col min="12" max="12" width="25.5546875" style="1" customWidth="1"/>
    <col min="13" max="13" width="23.109375" style="1" customWidth="1"/>
    <col min="14" max="14" width="22.5546875" style="1" customWidth="1"/>
    <col min="15" max="16384" width="8.88671875" style="1"/>
  </cols>
  <sheetData>
    <row r="1" spans="1:14" ht="16.2" thickBot="1" x14ac:dyDescent="0.35">
      <c r="A1" s="42"/>
      <c r="B1" s="186" t="s">
        <v>178</v>
      </c>
      <c r="C1" s="187"/>
      <c r="D1" s="187"/>
      <c r="E1" s="187"/>
      <c r="F1" s="188"/>
      <c r="G1" s="16" t="s">
        <v>25</v>
      </c>
      <c r="H1" s="176">
        <v>45163</v>
      </c>
      <c r="I1" s="177"/>
      <c r="J1" s="17" t="s">
        <v>15</v>
      </c>
      <c r="K1" s="189">
        <f>M2-E2</f>
        <v>-218110</v>
      </c>
      <c r="L1" s="190"/>
      <c r="M1" s="18"/>
      <c r="N1" s="19"/>
    </row>
    <row r="2" spans="1:14" ht="15.6" x14ac:dyDescent="0.3">
      <c r="A2" s="41"/>
      <c r="B2" s="191"/>
      <c r="C2" s="192"/>
      <c r="D2" s="13" t="s">
        <v>14</v>
      </c>
      <c r="E2" s="12">
        <f>SUM(E5:E30)</f>
        <v>518110</v>
      </c>
      <c r="F2" s="20"/>
      <c r="G2" s="31" t="s">
        <v>32</v>
      </c>
      <c r="H2" s="178" t="s">
        <v>265</v>
      </c>
      <c r="I2" s="193"/>
      <c r="J2" s="37"/>
      <c r="K2" s="10"/>
      <c r="L2" s="11" t="s">
        <v>14</v>
      </c>
      <c r="M2" s="12">
        <f>SUM(M5:M30)</f>
        <v>300000</v>
      </c>
      <c r="N2" s="20"/>
    </row>
    <row r="3" spans="1:14" x14ac:dyDescent="0.3">
      <c r="B3" s="194" t="s">
        <v>36</v>
      </c>
      <c r="C3" s="195"/>
      <c r="D3" s="196"/>
      <c r="E3" s="196"/>
      <c r="F3" s="197"/>
      <c r="G3" s="180" t="s">
        <v>33</v>
      </c>
      <c r="H3" s="181"/>
      <c r="I3" s="181"/>
      <c r="J3" s="194" t="s">
        <v>37</v>
      </c>
      <c r="K3" s="195"/>
      <c r="L3" s="196"/>
      <c r="M3" s="196"/>
      <c r="N3" s="197"/>
    </row>
    <row r="4" spans="1:14" x14ac:dyDescent="0.3">
      <c r="A4" s="3"/>
      <c r="B4" s="40" t="s">
        <v>0</v>
      </c>
      <c r="C4" s="2" t="s">
        <v>3</v>
      </c>
      <c r="D4" s="3" t="s">
        <v>1</v>
      </c>
      <c r="E4" s="3" t="s">
        <v>13</v>
      </c>
      <c r="F4" s="22" t="s">
        <v>2</v>
      </c>
      <c r="G4" s="21" t="s">
        <v>3</v>
      </c>
      <c r="H4" s="198" t="s">
        <v>26</v>
      </c>
      <c r="I4" s="199"/>
      <c r="J4" s="21" t="s">
        <v>0</v>
      </c>
      <c r="K4" s="2" t="s">
        <v>3</v>
      </c>
      <c r="L4" s="3" t="s">
        <v>1</v>
      </c>
      <c r="M4" s="3" t="s">
        <v>13</v>
      </c>
      <c r="N4" s="22" t="s">
        <v>2</v>
      </c>
    </row>
    <row r="5" spans="1:14" x14ac:dyDescent="0.3">
      <c r="A5" s="15"/>
      <c r="B5" s="40">
        <v>1</v>
      </c>
      <c r="C5" s="7">
        <v>45163</v>
      </c>
      <c r="D5" s="8" t="s">
        <v>19</v>
      </c>
      <c r="E5" s="9">
        <v>180000</v>
      </c>
      <c r="F5" s="23" t="s">
        <v>45</v>
      </c>
      <c r="G5" s="43">
        <v>45189</v>
      </c>
      <c r="H5" s="44">
        <v>325</v>
      </c>
      <c r="I5" s="47" t="str">
        <f>IF(ISBLANK(G5),"",CONCATENATE(G5-$H$1+1," days"))</f>
        <v>27 days</v>
      </c>
      <c r="J5" s="21">
        <v>1</v>
      </c>
      <c r="K5" s="4">
        <v>45189</v>
      </c>
      <c r="L5" s="3" t="s">
        <v>64</v>
      </c>
      <c r="M5" s="5">
        <v>300000</v>
      </c>
      <c r="N5" s="22"/>
    </row>
    <row r="6" spans="1:14" x14ac:dyDescent="0.3">
      <c r="A6" s="15"/>
      <c r="B6" s="40">
        <v>2</v>
      </c>
      <c r="C6" s="7">
        <v>45163</v>
      </c>
      <c r="D6" s="8" t="s">
        <v>43</v>
      </c>
      <c r="E6" s="9">
        <v>10000</v>
      </c>
      <c r="F6" s="23"/>
      <c r="G6" s="43"/>
      <c r="H6" s="44"/>
      <c r="I6" s="47" t="str">
        <f t="shared" ref="I6:I10" si="0">IF(ISBLANK(G6),"",CONCATENATE("(",G6-$H$1+1," days)"))</f>
        <v/>
      </c>
      <c r="J6" s="21">
        <v>2</v>
      </c>
      <c r="K6" s="2"/>
      <c r="L6" s="3"/>
      <c r="M6" s="5"/>
      <c r="N6" s="22"/>
    </row>
    <row r="7" spans="1:14" x14ac:dyDescent="0.3">
      <c r="A7" s="15"/>
      <c r="B7" s="40">
        <v>3</v>
      </c>
      <c r="C7" s="7">
        <v>45167</v>
      </c>
      <c r="D7" s="8" t="s">
        <v>44</v>
      </c>
      <c r="E7" s="9"/>
      <c r="F7" s="23"/>
      <c r="G7" s="43"/>
      <c r="H7" s="44"/>
      <c r="I7" s="47" t="str">
        <f t="shared" si="0"/>
        <v/>
      </c>
      <c r="J7" s="21">
        <v>3</v>
      </c>
      <c r="K7" s="2"/>
      <c r="L7" s="3"/>
      <c r="M7" s="5"/>
      <c r="N7" s="22"/>
    </row>
    <row r="8" spans="1:14" x14ac:dyDescent="0.3">
      <c r="A8" s="15"/>
      <c r="B8" s="40">
        <v>4</v>
      </c>
      <c r="C8" s="7">
        <v>45181</v>
      </c>
      <c r="D8" s="3" t="s">
        <v>53</v>
      </c>
      <c r="E8" s="5">
        <v>28110</v>
      </c>
      <c r="F8" s="22"/>
      <c r="G8" s="46"/>
      <c r="H8" s="44"/>
      <c r="I8" s="47" t="str">
        <f t="shared" si="0"/>
        <v/>
      </c>
      <c r="J8" s="21">
        <v>4</v>
      </c>
      <c r="K8" s="2"/>
      <c r="L8" s="3"/>
      <c r="M8" s="5"/>
      <c r="N8" s="22"/>
    </row>
    <row r="9" spans="1:14" x14ac:dyDescent="0.3">
      <c r="A9" s="15"/>
      <c r="B9" s="40">
        <v>5</v>
      </c>
      <c r="C9" s="7"/>
      <c r="D9" s="3" t="s">
        <v>60</v>
      </c>
      <c r="E9" s="5">
        <v>300000</v>
      </c>
      <c r="F9" s="22"/>
      <c r="G9" s="46"/>
      <c r="H9" s="44"/>
      <c r="I9" s="47" t="str">
        <f t="shared" si="0"/>
        <v/>
      </c>
      <c r="J9" s="21">
        <v>5</v>
      </c>
      <c r="K9" s="2"/>
      <c r="L9" s="3"/>
      <c r="M9" s="5"/>
      <c r="N9" s="22"/>
    </row>
    <row r="10" spans="1:14" x14ac:dyDescent="0.3">
      <c r="A10" s="15"/>
      <c r="B10" s="40">
        <v>6</v>
      </c>
      <c r="C10" s="7"/>
      <c r="D10" s="3"/>
      <c r="E10" s="5"/>
      <c r="F10" s="22"/>
      <c r="G10" s="32"/>
      <c r="H10" s="44"/>
      <c r="I10" s="47" t="str">
        <f t="shared" si="0"/>
        <v/>
      </c>
      <c r="J10" s="21">
        <v>6</v>
      </c>
      <c r="K10" s="2"/>
      <c r="L10" s="3"/>
      <c r="M10" s="5"/>
      <c r="N10" s="22"/>
    </row>
    <row r="11" spans="1:14" x14ac:dyDescent="0.3">
      <c r="A11" s="15"/>
      <c r="B11" s="40">
        <v>7</v>
      </c>
      <c r="C11" s="7"/>
      <c r="D11" s="3"/>
      <c r="E11" s="5"/>
      <c r="F11" s="22"/>
      <c r="G11" s="32"/>
      <c r="H11" s="44"/>
      <c r="I11" s="47"/>
      <c r="J11" s="21">
        <v>7</v>
      </c>
      <c r="K11" s="2"/>
      <c r="L11" s="3"/>
      <c r="M11" s="5"/>
      <c r="N11" s="22"/>
    </row>
    <row r="12" spans="1:14" ht="15" thickBot="1" x14ac:dyDescent="0.35">
      <c r="A12" s="15"/>
      <c r="B12" s="40">
        <v>8</v>
      </c>
      <c r="C12" s="7"/>
      <c r="D12" s="3"/>
      <c r="E12" s="5"/>
      <c r="F12" s="22"/>
      <c r="G12" s="173" t="s">
        <v>41</v>
      </c>
      <c r="H12" s="174"/>
      <c r="I12" s="175"/>
      <c r="J12" s="21">
        <v>8</v>
      </c>
      <c r="K12" s="2"/>
      <c r="L12" s="3"/>
      <c r="M12" s="5"/>
      <c r="N12" s="22"/>
    </row>
    <row r="13" spans="1:14" ht="15" thickBot="1" x14ac:dyDescent="0.35">
      <c r="A13" s="15"/>
      <c r="B13" s="40">
        <v>9</v>
      </c>
      <c r="C13" s="7"/>
      <c r="D13" s="3"/>
      <c r="E13" s="5"/>
      <c r="F13" s="22"/>
      <c r="G13" s="16" t="s">
        <v>25</v>
      </c>
      <c r="H13" s="176">
        <v>45163</v>
      </c>
      <c r="I13" s="177"/>
      <c r="J13" s="21">
        <v>9</v>
      </c>
      <c r="K13" s="2"/>
      <c r="L13" s="3"/>
      <c r="M13" s="5"/>
      <c r="N13" s="22"/>
    </row>
    <row r="14" spans="1:14" x14ac:dyDescent="0.3">
      <c r="A14" s="15"/>
      <c r="B14" s="40">
        <v>10</v>
      </c>
      <c r="C14" s="7"/>
      <c r="D14" s="3"/>
      <c r="E14" s="5"/>
      <c r="F14" s="22"/>
      <c r="G14" s="31" t="s">
        <v>32</v>
      </c>
      <c r="H14" s="178" t="s">
        <v>265</v>
      </c>
      <c r="I14" s="193"/>
      <c r="J14" s="21">
        <v>10</v>
      </c>
      <c r="K14" s="2"/>
      <c r="L14" s="3"/>
      <c r="M14" s="5"/>
      <c r="N14" s="22"/>
    </row>
    <row r="15" spans="1:14" x14ac:dyDescent="0.3">
      <c r="A15" s="15"/>
      <c r="B15" s="40">
        <v>11</v>
      </c>
      <c r="C15" s="7"/>
      <c r="D15" s="3"/>
      <c r="E15" s="5"/>
      <c r="F15" s="22"/>
      <c r="G15" s="180" t="s">
        <v>33</v>
      </c>
      <c r="H15" s="181"/>
      <c r="I15" s="181"/>
      <c r="J15" s="21">
        <v>11</v>
      </c>
      <c r="K15" s="2"/>
      <c r="L15" s="3"/>
      <c r="M15" s="5"/>
      <c r="N15" s="22"/>
    </row>
    <row r="16" spans="1:14" x14ac:dyDescent="0.3">
      <c r="A16" s="15"/>
      <c r="B16" s="40">
        <v>12</v>
      </c>
      <c r="C16" s="7"/>
      <c r="D16" s="3"/>
      <c r="E16" s="5"/>
      <c r="F16" s="22"/>
      <c r="G16" s="21" t="s">
        <v>3</v>
      </c>
      <c r="H16" s="198" t="s">
        <v>26</v>
      </c>
      <c r="I16" s="199"/>
      <c r="J16" s="21">
        <v>12</v>
      </c>
      <c r="K16" s="2"/>
      <c r="L16" s="3"/>
      <c r="M16" s="5"/>
      <c r="N16" s="22"/>
    </row>
    <row r="17" spans="1:19" x14ac:dyDescent="0.3">
      <c r="A17" s="15"/>
      <c r="B17" s="40">
        <v>13</v>
      </c>
      <c r="C17" s="7"/>
      <c r="D17" s="3"/>
      <c r="E17" s="5"/>
      <c r="F17" s="22"/>
      <c r="G17" s="43">
        <v>45189</v>
      </c>
      <c r="H17" s="44">
        <v>325</v>
      </c>
      <c r="I17" s="47" t="str">
        <f>IF(ISBLANK(G17),"",CONCATENATE(G17-$H$13+1," days"))</f>
        <v>27 days</v>
      </c>
      <c r="J17" s="21">
        <v>13</v>
      </c>
      <c r="K17" s="2"/>
      <c r="L17" s="3"/>
      <c r="M17" s="5"/>
      <c r="N17" s="22"/>
    </row>
    <row r="18" spans="1:19" x14ac:dyDescent="0.3">
      <c r="A18" s="15"/>
      <c r="B18" s="40">
        <v>14</v>
      </c>
      <c r="C18" s="7"/>
      <c r="D18" s="3"/>
      <c r="E18" s="5"/>
      <c r="F18" s="22"/>
      <c r="G18" s="43"/>
      <c r="H18" s="44"/>
      <c r="I18" s="47" t="str">
        <f t="shared" ref="I18:I21" si="1">IF(ISBLANK(G18),"",CONCATENATE("(",G18-$H$13+1," days)"))</f>
        <v/>
      </c>
      <c r="J18" s="21">
        <v>14</v>
      </c>
      <c r="K18" s="2"/>
      <c r="L18" s="3"/>
      <c r="M18" s="5"/>
      <c r="N18" s="22"/>
    </row>
    <row r="19" spans="1:19" x14ac:dyDescent="0.3">
      <c r="A19" s="15"/>
      <c r="B19" s="40">
        <v>15</v>
      </c>
      <c r="C19" s="7"/>
      <c r="D19" s="3"/>
      <c r="E19" s="5"/>
      <c r="F19" s="22"/>
      <c r="G19" s="43"/>
      <c r="H19" s="44"/>
      <c r="I19" s="47" t="str">
        <f t="shared" si="1"/>
        <v/>
      </c>
      <c r="J19" s="21">
        <v>15</v>
      </c>
      <c r="K19" s="2"/>
      <c r="L19" s="3"/>
      <c r="M19" s="5"/>
      <c r="N19" s="22"/>
    </row>
    <row r="20" spans="1:19" x14ac:dyDescent="0.3">
      <c r="A20" s="15"/>
      <c r="B20" s="40">
        <v>16</v>
      </c>
      <c r="C20" s="4"/>
      <c r="D20" s="3"/>
      <c r="E20" s="5"/>
      <c r="F20" s="22"/>
      <c r="G20" s="32"/>
      <c r="H20" s="44"/>
      <c r="I20" s="47" t="str">
        <f t="shared" si="1"/>
        <v/>
      </c>
      <c r="J20" s="21">
        <v>16</v>
      </c>
      <c r="K20" s="2"/>
      <c r="L20" s="3"/>
      <c r="M20" s="5"/>
      <c r="N20" s="22"/>
    </row>
    <row r="21" spans="1:19" x14ac:dyDescent="0.3">
      <c r="A21" s="15"/>
      <c r="B21" s="40">
        <v>17</v>
      </c>
      <c r="C21" s="4"/>
      <c r="D21" s="3"/>
      <c r="E21" s="5"/>
      <c r="F21" s="22"/>
      <c r="G21" s="44"/>
      <c r="H21" s="44"/>
      <c r="I21" s="47" t="str">
        <f t="shared" si="1"/>
        <v/>
      </c>
      <c r="J21" s="21">
        <v>17</v>
      </c>
      <c r="K21" s="2"/>
      <c r="L21" s="3"/>
      <c r="M21" s="5"/>
      <c r="N21" s="22"/>
    </row>
    <row r="22" spans="1:19" x14ac:dyDescent="0.3">
      <c r="A22" s="15"/>
      <c r="B22" s="40">
        <v>18</v>
      </c>
      <c r="C22" s="4"/>
      <c r="D22" s="3"/>
      <c r="E22" s="5"/>
      <c r="F22" s="22"/>
      <c r="G22" s="44"/>
      <c r="H22" s="44"/>
      <c r="I22" s="47"/>
      <c r="J22" s="21">
        <v>18</v>
      </c>
      <c r="K22" s="2"/>
      <c r="L22" s="3"/>
      <c r="M22" s="5"/>
      <c r="N22" s="22"/>
    </row>
    <row r="23" spans="1:19" x14ac:dyDescent="0.3">
      <c r="A23" s="15"/>
      <c r="B23" s="40">
        <v>19</v>
      </c>
      <c r="C23" s="4"/>
      <c r="D23" s="3"/>
      <c r="E23" s="5"/>
      <c r="F23" s="22"/>
      <c r="G23" s="44"/>
      <c r="H23" s="44"/>
      <c r="I23" s="47"/>
      <c r="J23" s="21">
        <v>19</v>
      </c>
      <c r="K23" s="2"/>
      <c r="L23" s="3"/>
      <c r="M23" s="5"/>
      <c r="N23" s="22"/>
    </row>
    <row r="24" spans="1:19" x14ac:dyDescent="0.3">
      <c r="A24" s="15"/>
      <c r="B24" s="40">
        <v>20</v>
      </c>
      <c r="C24" s="4"/>
      <c r="D24" s="3"/>
      <c r="E24" s="5"/>
      <c r="F24" s="22"/>
      <c r="G24" s="44"/>
      <c r="H24" s="44"/>
      <c r="I24" s="47"/>
      <c r="J24" s="21">
        <v>20</v>
      </c>
      <c r="K24" s="2"/>
      <c r="L24" s="3"/>
      <c r="M24" s="5"/>
      <c r="N24" s="22"/>
      <c r="S24" s="14"/>
    </row>
    <row r="25" spans="1:19" x14ac:dyDescent="0.3">
      <c r="A25" s="15"/>
      <c r="B25" s="40">
        <v>21</v>
      </c>
      <c r="C25" s="4"/>
      <c r="D25" s="3"/>
      <c r="E25" s="5"/>
      <c r="F25" s="22"/>
      <c r="G25" s="32"/>
      <c r="H25" s="44"/>
      <c r="I25" s="47"/>
      <c r="J25" s="21">
        <v>21</v>
      </c>
      <c r="K25" s="2"/>
      <c r="L25" s="3"/>
      <c r="M25" s="5"/>
      <c r="N25" s="22"/>
      <c r="S25" s="14"/>
    </row>
    <row r="26" spans="1:19" x14ac:dyDescent="0.3">
      <c r="A26" s="15"/>
      <c r="B26" s="40">
        <v>22</v>
      </c>
      <c r="C26" s="4"/>
      <c r="D26" s="3"/>
      <c r="E26" s="5"/>
      <c r="F26" s="22"/>
      <c r="G26" s="32"/>
      <c r="H26" s="44"/>
      <c r="I26" s="47"/>
      <c r="J26" s="21">
        <v>22</v>
      </c>
      <c r="K26" s="2"/>
      <c r="L26" s="3"/>
      <c r="M26" s="5"/>
      <c r="N26" s="22"/>
      <c r="S26" s="14"/>
    </row>
    <row r="27" spans="1:19" x14ac:dyDescent="0.3">
      <c r="A27" s="15"/>
      <c r="B27" s="40">
        <v>23</v>
      </c>
      <c r="C27" s="4"/>
      <c r="D27" s="3"/>
      <c r="E27" s="5"/>
      <c r="F27" s="22"/>
      <c r="G27" s="32"/>
      <c r="H27" s="44"/>
      <c r="I27" s="47"/>
      <c r="J27" s="21">
        <v>23</v>
      </c>
      <c r="K27" s="2"/>
      <c r="L27" s="3"/>
      <c r="M27" s="5"/>
      <c r="N27" s="22"/>
    </row>
    <row r="28" spans="1:19" x14ac:dyDescent="0.3">
      <c r="A28" s="15"/>
      <c r="B28" s="40">
        <v>24</v>
      </c>
      <c r="C28" s="4"/>
      <c r="D28" s="3"/>
      <c r="E28" s="5"/>
      <c r="F28" s="22"/>
      <c r="G28" s="32"/>
      <c r="H28" s="44"/>
      <c r="I28" s="47"/>
      <c r="J28" s="21">
        <v>24</v>
      </c>
      <c r="K28" s="2"/>
      <c r="L28" s="3"/>
      <c r="M28" s="5"/>
      <c r="N28" s="22"/>
    </row>
    <row r="29" spans="1:19" x14ac:dyDescent="0.3">
      <c r="A29" s="15"/>
      <c r="B29" s="40">
        <v>25</v>
      </c>
      <c r="C29" s="4"/>
      <c r="D29" s="3"/>
      <c r="E29" s="5"/>
      <c r="F29" s="22"/>
      <c r="G29" s="32"/>
      <c r="H29" s="44"/>
      <c r="I29" s="47"/>
      <c r="J29" s="21">
        <v>25</v>
      </c>
      <c r="K29" s="2"/>
      <c r="L29" s="3"/>
      <c r="M29" s="5"/>
      <c r="N29" s="22"/>
    </row>
    <row r="30" spans="1:19" x14ac:dyDescent="0.3">
      <c r="A30" s="15"/>
      <c r="B30" s="40"/>
      <c r="C30" s="4"/>
      <c r="D30" s="3"/>
      <c r="E30" s="5"/>
      <c r="F30" s="22"/>
      <c r="G30" s="32"/>
      <c r="H30" s="44"/>
      <c r="I30" s="47"/>
      <c r="J30" s="21">
        <v>26</v>
      </c>
      <c r="K30" s="2"/>
      <c r="L30" s="3"/>
      <c r="M30" s="5"/>
      <c r="N30" s="22"/>
    </row>
    <row r="31" spans="1:19" x14ac:dyDescent="0.3">
      <c r="B31" s="24"/>
      <c r="C31" s="25"/>
      <c r="E31" s="64" t="s">
        <v>65</v>
      </c>
      <c r="F31" s="63">
        <v>800000</v>
      </c>
      <c r="G31" s="90" t="s">
        <v>186</v>
      </c>
      <c r="H31" s="125">
        <v>700000</v>
      </c>
      <c r="I31" s="59" t="s">
        <v>187</v>
      </c>
      <c r="J31" s="59">
        <v>100000</v>
      </c>
    </row>
    <row r="32" spans="1:19" x14ac:dyDescent="0.3">
      <c r="B32" s="24"/>
      <c r="C32" s="25"/>
      <c r="E32" s="59" t="s">
        <v>62</v>
      </c>
      <c r="F32" s="90" t="s">
        <v>54</v>
      </c>
      <c r="G32" s="90" t="s">
        <v>26</v>
      </c>
      <c r="H32" s="90" t="s">
        <v>95</v>
      </c>
      <c r="I32" s="90" t="s">
        <v>63</v>
      </c>
      <c r="J32" s="90" t="s">
        <v>64</v>
      </c>
      <c r="K32" s="90"/>
    </row>
    <row r="33" spans="4:13" x14ac:dyDescent="0.3">
      <c r="E33" s="15" t="s">
        <v>298</v>
      </c>
      <c r="F33" s="57">
        <f>H33*G33</f>
        <v>620000</v>
      </c>
      <c r="G33" s="57">
        <v>124</v>
      </c>
      <c r="H33" s="65">
        <v>5000</v>
      </c>
      <c r="I33" s="60">
        <v>60</v>
      </c>
      <c r="J33" s="137">
        <f>H33*I33</f>
        <v>300000</v>
      </c>
      <c r="K33" s="137"/>
      <c r="L33" s="6"/>
    </row>
    <row r="34" spans="4:13" x14ac:dyDescent="0.3">
      <c r="E34" s="15"/>
      <c r="F34" s="57"/>
      <c r="G34" s="57"/>
      <c r="H34" s="65"/>
      <c r="I34" s="60"/>
      <c r="J34" s="137">
        <f t="shared" ref="J34:J39" si="2">H34*I34</f>
        <v>0</v>
      </c>
      <c r="K34" s="137"/>
      <c r="L34" s="6"/>
    </row>
    <row r="35" spans="4:13" x14ac:dyDescent="0.3">
      <c r="E35" s="15"/>
      <c r="F35" s="57"/>
      <c r="G35" s="57"/>
      <c r="H35" s="65"/>
      <c r="I35" s="60"/>
      <c r="J35" s="137">
        <f t="shared" si="2"/>
        <v>0</v>
      </c>
      <c r="K35" s="137"/>
      <c r="L35" s="6"/>
    </row>
    <row r="36" spans="4:13" x14ac:dyDescent="0.3">
      <c r="E36" s="15"/>
      <c r="F36" s="57"/>
      <c r="G36" s="57"/>
      <c r="H36" s="65"/>
      <c r="I36" s="60"/>
      <c r="J36" s="137">
        <f t="shared" si="2"/>
        <v>0</v>
      </c>
      <c r="K36" s="137"/>
      <c r="L36" s="6"/>
    </row>
    <row r="37" spans="4:13" x14ac:dyDescent="0.3">
      <c r="E37" s="15"/>
      <c r="F37" s="57"/>
      <c r="G37" s="57"/>
      <c r="H37" s="65"/>
      <c r="I37" s="60"/>
      <c r="J37" s="137">
        <f t="shared" si="2"/>
        <v>0</v>
      </c>
      <c r="K37" s="137"/>
      <c r="L37" s="6"/>
    </row>
    <row r="38" spans="4:13" x14ac:dyDescent="0.3">
      <c r="E38" s="15"/>
      <c r="F38" s="57"/>
      <c r="G38" s="57"/>
      <c r="H38" s="65"/>
      <c r="I38" s="60"/>
      <c r="J38" s="137">
        <f t="shared" si="2"/>
        <v>0</v>
      </c>
      <c r="K38" s="137"/>
      <c r="L38" s="6"/>
    </row>
    <row r="39" spans="4:13" x14ac:dyDescent="0.3">
      <c r="E39" s="15"/>
      <c r="F39" s="57"/>
      <c r="G39" s="57"/>
      <c r="H39" s="65"/>
      <c r="I39" s="60"/>
      <c r="J39" s="137">
        <f t="shared" si="2"/>
        <v>0</v>
      </c>
      <c r="K39" s="137"/>
      <c r="L39" s="6"/>
    </row>
    <row r="40" spans="4:13" x14ac:dyDescent="0.3">
      <c r="E40" s="50" t="s">
        <v>61</v>
      </c>
      <c r="F40" s="58">
        <f>SUM(F33:F38)</f>
        <v>620000</v>
      </c>
      <c r="G40" s="58"/>
      <c r="H40" s="58">
        <f>SUM(H33:H39)</f>
        <v>5000</v>
      </c>
      <c r="I40" s="50"/>
      <c r="J40" s="138">
        <f>SUM(J33:J39)</f>
        <v>300000</v>
      </c>
      <c r="K40" s="138"/>
      <c r="L40" s="6"/>
    </row>
    <row r="41" spans="4:13" x14ac:dyDescent="0.3">
      <c r="E41" s="50" t="s">
        <v>126</v>
      </c>
      <c r="F41" s="105" t="str">
        <f>CONCATENATE(ROUND((F40/F31)*100,2),"%")</f>
        <v>77.5%</v>
      </c>
      <c r="G41" s="15"/>
      <c r="H41" s="56"/>
      <c r="I41" s="15"/>
      <c r="J41" s="83"/>
      <c r="K41" s="83"/>
      <c r="L41" s="6"/>
      <c r="M41" s="26">
        <f>SUM(M33:M40)</f>
        <v>0</v>
      </c>
    </row>
    <row r="42" spans="4:13" x14ac:dyDescent="0.3">
      <c r="D42" s="39"/>
      <c r="L42" s="66" t="s">
        <v>70</v>
      </c>
      <c r="M42" s="39">
        <f>J40-M41</f>
        <v>300000</v>
      </c>
    </row>
    <row r="53" spans="7:7" x14ac:dyDescent="0.3">
      <c r="G53" s="39"/>
    </row>
    <row r="54" spans="7:7" x14ac:dyDescent="0.3">
      <c r="G54" s="39"/>
    </row>
    <row r="55" spans="7:7" x14ac:dyDescent="0.3">
      <c r="G55" s="14"/>
    </row>
    <row r="65" spans="6:6" x14ac:dyDescent="0.3">
      <c r="F65" s="39"/>
    </row>
  </sheetData>
  <mergeCells count="14">
    <mergeCell ref="H4:I4"/>
    <mergeCell ref="G12:I12"/>
    <mergeCell ref="H14:I14"/>
    <mergeCell ref="G15:I15"/>
    <mergeCell ref="H16:I16"/>
    <mergeCell ref="H13:I13"/>
    <mergeCell ref="B3:F3"/>
    <mergeCell ref="G3:I3"/>
    <mergeCell ref="J3:N3"/>
    <mergeCell ref="B1:F1"/>
    <mergeCell ref="H1:I1"/>
    <mergeCell ref="K1:L1"/>
    <mergeCell ref="B2:C2"/>
    <mergeCell ref="H2:I2"/>
  </mergeCells>
  <conditionalFormatting sqref="D5:D30">
    <cfRule type="duplicateValues" dxfId="74" priority="28"/>
  </conditionalFormatting>
  <conditionalFormatting sqref="E5:E30">
    <cfRule type="duplicateValues" dxfId="73" priority="30"/>
  </conditionalFormatting>
  <conditionalFormatting sqref="K1:L1">
    <cfRule type="cellIs" dxfId="72" priority="4" operator="greaterThan">
      <formula>0</formula>
    </cfRule>
    <cfRule type="cellIs" dxfId="71" priority="5" operator="lessThan">
      <formula>0</formula>
    </cfRule>
  </conditionalFormatting>
  <conditionalFormatting sqref="L5:L30">
    <cfRule type="duplicateValues" dxfId="70" priority="32"/>
  </conditionalFormatting>
  <conditionalFormatting sqref="M5:M30">
    <cfRule type="duplicateValues" dxfId="69" priority="33"/>
  </conditionalFormatting>
  <conditionalFormatting sqref="S24:S26">
    <cfRule type="duplicateValues" dxfId="68" priority="1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24AB-6942-4AFC-921B-CBED4E588B32}">
  <dimension ref="A1:S65"/>
  <sheetViews>
    <sheetView zoomScaleNormal="100" workbookViewId="0">
      <pane xSplit="13" ySplit="4" topLeftCell="N22" activePane="bottomRight" state="frozen"/>
      <selection pane="topRight" activeCell="M1" sqref="M1"/>
      <selection pane="bottomLeft" activeCell="A5" sqref="A5"/>
      <selection pane="bottomRight" activeCell="I37" sqref="I37"/>
    </sheetView>
  </sheetViews>
  <sheetFormatPr defaultRowHeight="14.4" x14ac:dyDescent="0.3"/>
  <cols>
    <col min="1" max="1" width="3.44140625" style="1" bestFit="1" customWidth="1"/>
    <col min="2" max="2" width="3" style="6" bestFit="1" customWidth="1"/>
    <col min="3" max="3" width="10.33203125" style="6" bestFit="1" customWidth="1"/>
    <col min="4" max="4" width="25.109375" style="1" customWidth="1"/>
    <col min="5" max="5" width="18.44140625" style="1" customWidth="1"/>
    <col min="6" max="6" width="33.33203125" style="1" customWidth="1"/>
    <col min="7" max="7" width="10.33203125" style="1" bestFit="1" customWidth="1"/>
    <col min="8" max="8" width="12.109375" style="1" bestFit="1" customWidth="1"/>
    <col min="9" max="9" width="12.109375" style="1" customWidth="1"/>
    <col min="10" max="10" width="10.5546875" style="1" bestFit="1" customWidth="1"/>
    <col min="11" max="11" width="10.5546875" style="1" customWidth="1"/>
    <col min="12" max="12" width="25.5546875" style="1" customWidth="1"/>
    <col min="13" max="13" width="23.109375" style="1" customWidth="1"/>
    <col min="14" max="14" width="22.5546875" style="1" customWidth="1"/>
    <col min="15" max="16384" width="8.88671875" style="1"/>
  </cols>
  <sheetData>
    <row r="1" spans="1:14" ht="16.2" thickBot="1" x14ac:dyDescent="0.35">
      <c r="A1" s="42"/>
      <c r="B1" s="186" t="s">
        <v>179</v>
      </c>
      <c r="C1" s="187"/>
      <c r="D1" s="187"/>
      <c r="E1" s="187"/>
      <c r="F1" s="188"/>
      <c r="G1" s="16" t="s">
        <v>25</v>
      </c>
      <c r="H1" s="176">
        <v>45163</v>
      </c>
      <c r="I1" s="177"/>
      <c r="J1" s="17" t="s">
        <v>15</v>
      </c>
      <c r="K1" s="189">
        <f>M2-E2</f>
        <v>-470000</v>
      </c>
      <c r="L1" s="190"/>
      <c r="M1" s="18"/>
      <c r="N1" s="19"/>
    </row>
    <row r="2" spans="1:14" ht="15.6" x14ac:dyDescent="0.3">
      <c r="A2" s="41"/>
      <c r="B2" s="191"/>
      <c r="C2" s="192"/>
      <c r="D2" s="13" t="s">
        <v>14</v>
      </c>
      <c r="E2" s="12">
        <f>SUM(E5:E30)</f>
        <v>590000</v>
      </c>
      <c r="F2" s="20"/>
      <c r="G2" s="31" t="s">
        <v>32</v>
      </c>
      <c r="H2" s="178" t="s">
        <v>266</v>
      </c>
      <c r="I2" s="193"/>
      <c r="J2" s="37"/>
      <c r="K2" s="10"/>
      <c r="L2" s="11" t="s">
        <v>14</v>
      </c>
      <c r="M2" s="12">
        <f>SUM(M5:M30)</f>
        <v>120000</v>
      </c>
      <c r="N2" s="20"/>
    </row>
    <row r="3" spans="1:14" x14ac:dyDescent="0.3">
      <c r="B3" s="194" t="s">
        <v>36</v>
      </c>
      <c r="C3" s="195"/>
      <c r="D3" s="196"/>
      <c r="E3" s="196"/>
      <c r="F3" s="197"/>
      <c r="G3" s="180" t="s">
        <v>33</v>
      </c>
      <c r="H3" s="181"/>
      <c r="I3" s="181"/>
      <c r="J3" s="194" t="s">
        <v>37</v>
      </c>
      <c r="K3" s="195"/>
      <c r="L3" s="196"/>
      <c r="M3" s="196"/>
      <c r="N3" s="197"/>
    </row>
    <row r="4" spans="1:14" x14ac:dyDescent="0.3">
      <c r="A4" s="3"/>
      <c r="B4" s="40" t="s">
        <v>0</v>
      </c>
      <c r="C4" s="2" t="s">
        <v>3</v>
      </c>
      <c r="D4" s="3" t="s">
        <v>1</v>
      </c>
      <c r="E4" s="3" t="s">
        <v>13</v>
      </c>
      <c r="F4" s="22" t="s">
        <v>2</v>
      </c>
      <c r="G4" s="21" t="s">
        <v>3</v>
      </c>
      <c r="H4" s="198" t="s">
        <v>26</v>
      </c>
      <c r="I4" s="199"/>
      <c r="J4" s="21" t="s">
        <v>0</v>
      </c>
      <c r="K4" s="2" t="s">
        <v>3</v>
      </c>
      <c r="L4" s="3" t="s">
        <v>1</v>
      </c>
      <c r="M4" s="3" t="s">
        <v>13</v>
      </c>
      <c r="N4" s="22" t="s">
        <v>2</v>
      </c>
    </row>
    <row r="5" spans="1:14" x14ac:dyDescent="0.3">
      <c r="A5" s="15"/>
      <c r="B5" s="40">
        <v>1</v>
      </c>
      <c r="C5" s="7">
        <v>45163</v>
      </c>
      <c r="D5" s="8" t="s">
        <v>19</v>
      </c>
      <c r="E5" s="9">
        <v>180000</v>
      </c>
      <c r="F5" s="23" t="s">
        <v>45</v>
      </c>
      <c r="G5" s="43">
        <v>45199</v>
      </c>
      <c r="H5" s="44">
        <v>325</v>
      </c>
      <c r="I5" s="47" t="str">
        <f>IF(ISBLANK(G5),"",CONCATENATE(G5-$H$1+1," days"))</f>
        <v>37 days</v>
      </c>
      <c r="J5" s="21">
        <v>1</v>
      </c>
      <c r="K5" s="4">
        <v>45189</v>
      </c>
      <c r="L5" s="15" t="s">
        <v>105</v>
      </c>
      <c r="M5" s="5">
        <v>120000</v>
      </c>
      <c r="N5" s="22"/>
    </row>
    <row r="6" spans="1:14" x14ac:dyDescent="0.3">
      <c r="A6" s="15"/>
      <c r="B6" s="40">
        <v>2</v>
      </c>
      <c r="C6" s="7">
        <v>45163</v>
      </c>
      <c r="D6" s="8" t="s">
        <v>43</v>
      </c>
      <c r="E6" s="9">
        <v>10000</v>
      </c>
      <c r="F6" s="23"/>
      <c r="G6" s="43"/>
      <c r="H6" s="44"/>
      <c r="I6" s="47" t="str">
        <f t="shared" ref="I6:I10" si="0">IF(ISBLANK(G6),"",CONCATENATE("(",G6-$H$1+1," days)"))</f>
        <v/>
      </c>
      <c r="J6" s="21">
        <v>2</v>
      </c>
      <c r="K6" s="2"/>
      <c r="L6" s="3"/>
      <c r="M6" s="5"/>
      <c r="N6" s="22"/>
    </row>
    <row r="7" spans="1:14" x14ac:dyDescent="0.3">
      <c r="A7" s="15"/>
      <c r="B7" s="40">
        <v>3</v>
      </c>
      <c r="C7" s="7">
        <v>45167</v>
      </c>
      <c r="D7" s="8" t="s">
        <v>44</v>
      </c>
      <c r="E7" s="9">
        <v>300000</v>
      </c>
      <c r="F7" s="23"/>
      <c r="G7" s="43"/>
      <c r="H7" s="44"/>
      <c r="I7" s="47" t="str">
        <f t="shared" si="0"/>
        <v/>
      </c>
      <c r="J7" s="21">
        <v>3</v>
      </c>
      <c r="K7" s="2"/>
      <c r="L7" s="3"/>
      <c r="M7" s="5"/>
      <c r="N7" s="22"/>
    </row>
    <row r="8" spans="1:14" x14ac:dyDescent="0.3">
      <c r="A8" s="15"/>
      <c r="B8" s="40">
        <v>4</v>
      </c>
      <c r="C8" s="7"/>
      <c r="D8" s="3" t="s">
        <v>73</v>
      </c>
      <c r="E8" s="5">
        <v>100000</v>
      </c>
      <c r="F8" s="22"/>
      <c r="G8" s="46"/>
      <c r="H8" s="44"/>
      <c r="I8" s="47" t="str">
        <f t="shared" si="0"/>
        <v/>
      </c>
      <c r="J8" s="21">
        <v>4</v>
      </c>
      <c r="K8" s="2"/>
      <c r="L8" s="3"/>
      <c r="M8" s="5"/>
      <c r="N8" s="22"/>
    </row>
    <row r="9" spans="1:14" x14ac:dyDescent="0.3">
      <c r="A9" s="15"/>
      <c r="B9" s="40">
        <v>5</v>
      </c>
      <c r="C9" s="7"/>
      <c r="D9" s="3"/>
      <c r="E9" s="5"/>
      <c r="F9" s="22"/>
      <c r="G9" s="46"/>
      <c r="H9" s="44"/>
      <c r="I9" s="47" t="str">
        <f t="shared" si="0"/>
        <v/>
      </c>
      <c r="J9" s="21">
        <v>5</v>
      </c>
      <c r="K9" s="2"/>
      <c r="L9" s="3"/>
      <c r="M9" s="5"/>
      <c r="N9" s="22"/>
    </row>
    <row r="10" spans="1:14" x14ac:dyDescent="0.3">
      <c r="A10" s="15"/>
      <c r="B10" s="40">
        <v>6</v>
      </c>
      <c r="C10" s="7"/>
      <c r="D10" s="3"/>
      <c r="E10" s="5"/>
      <c r="F10" s="22"/>
      <c r="G10" s="32"/>
      <c r="H10" s="44"/>
      <c r="I10" s="47" t="str">
        <f t="shared" si="0"/>
        <v/>
      </c>
      <c r="J10" s="21">
        <v>6</v>
      </c>
      <c r="K10" s="2"/>
      <c r="L10" s="3"/>
      <c r="M10" s="5"/>
      <c r="N10" s="22"/>
    </row>
    <row r="11" spans="1:14" x14ac:dyDescent="0.3">
      <c r="A11" s="15"/>
      <c r="B11" s="40">
        <v>7</v>
      </c>
      <c r="C11" s="7"/>
      <c r="D11" s="3"/>
      <c r="E11" s="5"/>
      <c r="F11" s="22"/>
      <c r="G11" s="32"/>
      <c r="H11" s="44"/>
      <c r="I11" s="47"/>
      <c r="J11" s="21">
        <v>7</v>
      </c>
      <c r="K11" s="2"/>
      <c r="L11" s="3"/>
      <c r="M11" s="5"/>
      <c r="N11" s="22"/>
    </row>
    <row r="12" spans="1:14" ht="15" thickBot="1" x14ac:dyDescent="0.35">
      <c r="A12" s="15"/>
      <c r="B12" s="40">
        <v>8</v>
      </c>
      <c r="C12" s="7"/>
      <c r="D12" s="3"/>
      <c r="E12" s="5"/>
      <c r="F12" s="22"/>
      <c r="G12" s="173" t="s">
        <v>41</v>
      </c>
      <c r="H12" s="174"/>
      <c r="I12" s="175"/>
      <c r="J12" s="21">
        <v>8</v>
      </c>
      <c r="K12" s="2"/>
      <c r="L12" s="3"/>
      <c r="M12" s="5"/>
      <c r="N12" s="22"/>
    </row>
    <row r="13" spans="1:14" ht="15" thickBot="1" x14ac:dyDescent="0.35">
      <c r="A13" s="15"/>
      <c r="B13" s="40">
        <v>9</v>
      </c>
      <c r="C13" s="7"/>
      <c r="D13" s="3"/>
      <c r="E13" s="5"/>
      <c r="F13" s="22"/>
      <c r="G13" s="16" t="s">
        <v>25</v>
      </c>
      <c r="H13" s="176">
        <v>45163</v>
      </c>
      <c r="I13" s="177"/>
      <c r="J13" s="21">
        <v>9</v>
      </c>
      <c r="K13" s="2"/>
      <c r="L13" s="3"/>
      <c r="M13" s="5"/>
      <c r="N13" s="22"/>
    </row>
    <row r="14" spans="1:14" x14ac:dyDescent="0.3">
      <c r="A14" s="15"/>
      <c r="B14" s="40">
        <v>10</v>
      </c>
      <c r="C14" s="7"/>
      <c r="D14" s="3"/>
      <c r="E14" s="5"/>
      <c r="F14" s="22"/>
      <c r="G14" s="31" t="s">
        <v>32</v>
      </c>
      <c r="H14" s="178" t="s">
        <v>266</v>
      </c>
      <c r="I14" s="193"/>
      <c r="J14" s="21">
        <v>10</v>
      </c>
      <c r="K14" s="2"/>
      <c r="L14" s="3"/>
      <c r="M14" s="5"/>
      <c r="N14" s="22"/>
    </row>
    <row r="15" spans="1:14" x14ac:dyDescent="0.3">
      <c r="A15" s="15"/>
      <c r="B15" s="40">
        <v>11</v>
      </c>
      <c r="C15" s="7"/>
      <c r="D15" s="3"/>
      <c r="E15" s="5"/>
      <c r="F15" s="22"/>
      <c r="G15" s="180" t="s">
        <v>33</v>
      </c>
      <c r="H15" s="181"/>
      <c r="I15" s="181"/>
      <c r="J15" s="21">
        <v>11</v>
      </c>
      <c r="K15" s="2"/>
      <c r="L15" s="3"/>
      <c r="M15" s="5"/>
      <c r="N15" s="22"/>
    </row>
    <row r="16" spans="1:14" x14ac:dyDescent="0.3">
      <c r="A16" s="15"/>
      <c r="B16" s="40">
        <v>12</v>
      </c>
      <c r="C16" s="7"/>
      <c r="D16" s="3"/>
      <c r="E16" s="5"/>
      <c r="F16" s="22"/>
      <c r="G16" s="21" t="s">
        <v>3</v>
      </c>
      <c r="H16" s="198" t="s">
        <v>26</v>
      </c>
      <c r="I16" s="199"/>
      <c r="J16" s="21">
        <v>12</v>
      </c>
      <c r="K16" s="2"/>
      <c r="L16" s="3"/>
      <c r="M16" s="5"/>
      <c r="N16" s="22"/>
    </row>
    <row r="17" spans="1:19" x14ac:dyDescent="0.3">
      <c r="A17" s="15"/>
      <c r="B17" s="40">
        <v>13</v>
      </c>
      <c r="C17" s="7"/>
      <c r="D17" s="3"/>
      <c r="E17" s="5"/>
      <c r="F17" s="22"/>
      <c r="G17" s="43">
        <v>45199</v>
      </c>
      <c r="H17" s="44">
        <v>325</v>
      </c>
      <c r="I17" s="47" t="str">
        <f>IF(ISBLANK(G17),"",CONCATENATE(G17-$H$13+1," days"))</f>
        <v>37 days</v>
      </c>
      <c r="J17" s="21">
        <v>13</v>
      </c>
      <c r="K17" s="2"/>
      <c r="L17" s="3"/>
      <c r="M17" s="5"/>
      <c r="N17" s="22"/>
    </row>
    <row r="18" spans="1:19" x14ac:dyDescent="0.3">
      <c r="A18" s="15"/>
      <c r="B18" s="40">
        <v>14</v>
      </c>
      <c r="C18" s="7"/>
      <c r="D18" s="3"/>
      <c r="E18" s="5"/>
      <c r="F18" s="22"/>
      <c r="G18" s="43"/>
      <c r="H18" s="44"/>
      <c r="I18" s="47" t="str">
        <f t="shared" ref="I18:I21" si="1">IF(ISBLANK(G18),"",CONCATENATE("(",G18-$H$13+1," days)"))</f>
        <v/>
      </c>
      <c r="J18" s="21">
        <v>14</v>
      </c>
      <c r="K18" s="2"/>
      <c r="L18" s="3"/>
      <c r="M18" s="5"/>
      <c r="N18" s="22"/>
    </row>
    <row r="19" spans="1:19" x14ac:dyDescent="0.3">
      <c r="A19" s="15"/>
      <c r="B19" s="40">
        <v>15</v>
      </c>
      <c r="C19" s="7"/>
      <c r="D19" s="3"/>
      <c r="E19" s="5"/>
      <c r="F19" s="22"/>
      <c r="G19" s="43"/>
      <c r="H19" s="44"/>
      <c r="I19" s="47" t="str">
        <f t="shared" si="1"/>
        <v/>
      </c>
      <c r="J19" s="21">
        <v>15</v>
      </c>
      <c r="K19" s="2"/>
      <c r="L19" s="3"/>
      <c r="M19" s="5"/>
      <c r="N19" s="22"/>
    </row>
    <row r="20" spans="1:19" x14ac:dyDescent="0.3">
      <c r="A20" s="15"/>
      <c r="B20" s="40">
        <v>16</v>
      </c>
      <c r="C20" s="4"/>
      <c r="D20" s="3"/>
      <c r="E20" s="5"/>
      <c r="F20" s="22"/>
      <c r="G20" s="32"/>
      <c r="H20" s="44"/>
      <c r="I20" s="47" t="str">
        <f t="shared" si="1"/>
        <v/>
      </c>
      <c r="J20" s="21">
        <v>16</v>
      </c>
      <c r="K20" s="2"/>
      <c r="L20" s="3"/>
      <c r="M20" s="5"/>
      <c r="N20" s="22"/>
    </row>
    <row r="21" spans="1:19" x14ac:dyDescent="0.3">
      <c r="A21" s="15"/>
      <c r="B21" s="40">
        <v>17</v>
      </c>
      <c r="C21" s="4"/>
      <c r="D21" s="3"/>
      <c r="E21" s="5"/>
      <c r="F21" s="22"/>
      <c r="G21" s="44"/>
      <c r="H21" s="44"/>
      <c r="I21" s="47" t="str">
        <f t="shared" si="1"/>
        <v/>
      </c>
      <c r="J21" s="21">
        <v>17</v>
      </c>
      <c r="K21" s="2"/>
      <c r="L21" s="3"/>
      <c r="M21" s="5"/>
      <c r="N21" s="22"/>
    </row>
    <row r="22" spans="1:19" x14ac:dyDescent="0.3">
      <c r="A22" s="15"/>
      <c r="B22" s="40">
        <v>18</v>
      </c>
      <c r="C22" s="4"/>
      <c r="D22" s="3"/>
      <c r="E22" s="5"/>
      <c r="F22" s="22"/>
      <c r="G22" s="44"/>
      <c r="H22" s="44"/>
      <c r="I22" s="47"/>
      <c r="J22" s="21">
        <v>18</v>
      </c>
      <c r="K22" s="2"/>
      <c r="L22" s="3"/>
      <c r="M22" s="5"/>
      <c r="N22" s="22"/>
    </row>
    <row r="23" spans="1:19" x14ac:dyDescent="0.3">
      <c r="A23" s="15"/>
      <c r="B23" s="40">
        <v>19</v>
      </c>
      <c r="C23" s="4"/>
      <c r="D23" s="3"/>
      <c r="E23" s="5"/>
      <c r="F23" s="22"/>
      <c r="G23" s="44"/>
      <c r="H23" s="44"/>
      <c r="I23" s="47"/>
      <c r="J23" s="21">
        <v>19</v>
      </c>
      <c r="K23" s="2"/>
      <c r="L23" s="3"/>
      <c r="M23" s="5"/>
      <c r="N23" s="22"/>
    </row>
    <row r="24" spans="1:19" x14ac:dyDescent="0.3">
      <c r="A24" s="15"/>
      <c r="B24" s="40">
        <v>20</v>
      </c>
      <c r="C24" s="4"/>
      <c r="D24" s="3"/>
      <c r="E24" s="5"/>
      <c r="F24" s="22"/>
      <c r="G24" s="44"/>
      <c r="H24" s="44"/>
      <c r="I24" s="47"/>
      <c r="J24" s="21">
        <v>20</v>
      </c>
      <c r="K24" s="2"/>
      <c r="L24" s="3"/>
      <c r="M24" s="5"/>
      <c r="N24" s="22"/>
      <c r="S24" s="14"/>
    </row>
    <row r="25" spans="1:19" x14ac:dyDescent="0.3">
      <c r="A25" s="15"/>
      <c r="B25" s="40">
        <v>21</v>
      </c>
      <c r="C25" s="4"/>
      <c r="D25" s="3"/>
      <c r="E25" s="5"/>
      <c r="F25" s="22"/>
      <c r="G25" s="32"/>
      <c r="H25" s="44"/>
      <c r="I25" s="47"/>
      <c r="J25" s="21">
        <v>21</v>
      </c>
      <c r="K25" s="2"/>
      <c r="L25" s="3"/>
      <c r="M25" s="5"/>
      <c r="N25" s="22"/>
      <c r="S25" s="14"/>
    </row>
    <row r="26" spans="1:19" x14ac:dyDescent="0.3">
      <c r="A26" s="15"/>
      <c r="B26" s="40">
        <v>22</v>
      </c>
      <c r="C26" s="4"/>
      <c r="D26" s="3"/>
      <c r="E26" s="5"/>
      <c r="F26" s="22"/>
      <c r="G26" s="32"/>
      <c r="H26" s="44"/>
      <c r="I26" s="47"/>
      <c r="J26" s="21">
        <v>22</v>
      </c>
      <c r="K26" s="2"/>
      <c r="L26" s="3"/>
      <c r="M26" s="5"/>
      <c r="N26" s="22"/>
      <c r="S26" s="14"/>
    </row>
    <row r="27" spans="1:19" x14ac:dyDescent="0.3">
      <c r="A27" s="15"/>
      <c r="B27" s="40">
        <v>23</v>
      </c>
      <c r="C27" s="4"/>
      <c r="D27" s="3"/>
      <c r="E27" s="5"/>
      <c r="F27" s="22"/>
      <c r="G27" s="32"/>
      <c r="H27" s="44"/>
      <c r="I27" s="47"/>
      <c r="J27" s="21">
        <v>23</v>
      </c>
      <c r="K27" s="2"/>
      <c r="L27" s="3"/>
      <c r="M27" s="5"/>
      <c r="N27" s="22"/>
    </row>
    <row r="28" spans="1:19" x14ac:dyDescent="0.3">
      <c r="A28" s="15"/>
      <c r="B28" s="40">
        <v>24</v>
      </c>
      <c r="C28" s="4"/>
      <c r="D28" s="3"/>
      <c r="E28" s="5"/>
      <c r="F28" s="22"/>
      <c r="G28" s="32"/>
      <c r="H28" s="44"/>
      <c r="I28" s="47"/>
      <c r="J28" s="21">
        <v>24</v>
      </c>
      <c r="K28" s="2"/>
      <c r="L28" s="3"/>
      <c r="M28" s="5"/>
      <c r="N28" s="22"/>
    </row>
    <row r="29" spans="1:19" x14ac:dyDescent="0.3">
      <c r="A29" s="15"/>
      <c r="B29" s="40">
        <v>25</v>
      </c>
      <c r="C29" s="4"/>
      <c r="D29" s="3"/>
      <c r="E29" s="5"/>
      <c r="F29" s="22"/>
      <c r="G29" s="32"/>
      <c r="H29" s="44"/>
      <c r="I29" s="47"/>
      <c r="J29" s="21">
        <v>25</v>
      </c>
      <c r="K29" s="2"/>
      <c r="L29" s="3"/>
      <c r="M29" s="5"/>
      <c r="N29" s="22"/>
    </row>
    <row r="30" spans="1:19" x14ac:dyDescent="0.3">
      <c r="A30" s="15"/>
      <c r="B30" s="40"/>
      <c r="C30" s="4"/>
      <c r="D30" s="3"/>
      <c r="E30" s="5"/>
      <c r="F30" s="22"/>
      <c r="G30" s="32"/>
      <c r="H30" s="44"/>
      <c r="I30" s="47"/>
      <c r="J30" s="21">
        <v>26</v>
      </c>
      <c r="K30" s="2"/>
      <c r="L30" s="3"/>
      <c r="M30" s="5"/>
      <c r="N30" s="22"/>
    </row>
    <row r="31" spans="1:19" x14ac:dyDescent="0.3">
      <c r="B31" s="24"/>
      <c r="C31" s="25"/>
      <c r="E31" s="64" t="s">
        <v>65</v>
      </c>
      <c r="F31" s="63">
        <v>700000</v>
      </c>
      <c r="G31" s="90" t="s">
        <v>186</v>
      </c>
      <c r="H31" s="125">
        <v>900000</v>
      </c>
      <c r="I31" s="59" t="s">
        <v>187</v>
      </c>
      <c r="J31" s="59">
        <v>100000</v>
      </c>
    </row>
    <row r="32" spans="1:19" x14ac:dyDescent="0.3">
      <c r="B32" s="24"/>
      <c r="C32" s="25"/>
      <c r="E32" s="59" t="s">
        <v>62</v>
      </c>
      <c r="F32" s="90" t="s">
        <v>54</v>
      </c>
      <c r="G32" s="90" t="s">
        <v>26</v>
      </c>
      <c r="H32" s="90" t="s">
        <v>95</v>
      </c>
      <c r="I32" s="90" t="s">
        <v>63</v>
      </c>
      <c r="J32" s="90" t="s">
        <v>64</v>
      </c>
      <c r="K32" s="90"/>
    </row>
    <row r="33" spans="4:13" x14ac:dyDescent="0.3">
      <c r="E33" s="15" t="s">
        <v>298</v>
      </c>
      <c r="F33" s="57">
        <f>H33*G33</f>
        <v>325000</v>
      </c>
      <c r="G33" s="57">
        <v>325</v>
      </c>
      <c r="H33" s="65">
        <v>1000</v>
      </c>
      <c r="I33" s="60">
        <v>100</v>
      </c>
      <c r="J33" s="137">
        <f>H33*I33</f>
        <v>100000</v>
      </c>
      <c r="K33" s="137"/>
      <c r="L33" s="6"/>
    </row>
    <row r="34" spans="4:13" x14ac:dyDescent="0.3">
      <c r="E34" s="15" t="s">
        <v>57</v>
      </c>
      <c r="F34" s="57">
        <f t="shared" ref="F34:F39" si="2">H34*G34</f>
        <v>65000</v>
      </c>
      <c r="G34" s="57">
        <v>325</v>
      </c>
      <c r="H34" s="65">
        <v>200</v>
      </c>
      <c r="I34" s="60">
        <v>100</v>
      </c>
      <c r="J34" s="137">
        <f t="shared" ref="J34:J39" si="3">H34*I34</f>
        <v>20000</v>
      </c>
      <c r="K34" s="137"/>
      <c r="L34" s="6"/>
    </row>
    <row r="35" spans="4:13" x14ac:dyDescent="0.3">
      <c r="E35" s="15"/>
      <c r="F35" s="57">
        <f t="shared" si="2"/>
        <v>0</v>
      </c>
      <c r="G35" s="57"/>
      <c r="H35" s="65"/>
      <c r="I35" s="60"/>
      <c r="J35" s="137">
        <f t="shared" si="3"/>
        <v>0</v>
      </c>
      <c r="K35" s="137"/>
      <c r="L35" s="6"/>
    </row>
    <row r="36" spans="4:13" x14ac:dyDescent="0.3">
      <c r="E36" s="15"/>
      <c r="F36" s="57">
        <f t="shared" si="2"/>
        <v>0</v>
      </c>
      <c r="G36" s="57"/>
      <c r="H36" s="65"/>
      <c r="I36" s="60"/>
      <c r="J36" s="137">
        <f t="shared" si="3"/>
        <v>0</v>
      </c>
      <c r="K36" s="137"/>
      <c r="L36" s="6"/>
    </row>
    <row r="37" spans="4:13" x14ac:dyDescent="0.3">
      <c r="E37" s="15"/>
      <c r="F37" s="57">
        <f t="shared" si="2"/>
        <v>0</v>
      </c>
      <c r="G37" s="57"/>
      <c r="H37" s="65"/>
      <c r="I37" s="60"/>
      <c r="J37" s="137">
        <f t="shared" si="3"/>
        <v>0</v>
      </c>
      <c r="K37" s="137"/>
      <c r="L37" s="6"/>
    </row>
    <row r="38" spans="4:13" x14ac:dyDescent="0.3">
      <c r="E38" s="15"/>
      <c r="F38" s="57">
        <f t="shared" si="2"/>
        <v>0</v>
      </c>
      <c r="G38" s="57"/>
      <c r="H38" s="65"/>
      <c r="I38" s="60"/>
      <c r="J38" s="137">
        <f t="shared" si="3"/>
        <v>0</v>
      </c>
      <c r="K38" s="137"/>
      <c r="L38" s="6"/>
    </row>
    <row r="39" spans="4:13" x14ac:dyDescent="0.3">
      <c r="E39" s="15"/>
      <c r="F39" s="57">
        <f t="shared" si="2"/>
        <v>0</v>
      </c>
      <c r="G39" s="57"/>
      <c r="H39" s="65"/>
      <c r="I39" s="60"/>
      <c r="J39" s="137">
        <f t="shared" si="3"/>
        <v>0</v>
      </c>
      <c r="K39" s="137"/>
      <c r="L39" s="6"/>
    </row>
    <row r="40" spans="4:13" x14ac:dyDescent="0.3">
      <c r="E40" s="50" t="s">
        <v>61</v>
      </c>
      <c r="F40" s="58">
        <f>SUM(F33:F38)</f>
        <v>390000</v>
      </c>
      <c r="G40" s="58"/>
      <c r="H40" s="58">
        <f>SUM(H33:H39)</f>
        <v>1200</v>
      </c>
      <c r="I40" s="50"/>
      <c r="J40" s="138">
        <f>SUM(J33:J39)</f>
        <v>120000</v>
      </c>
      <c r="K40" s="138"/>
      <c r="L40" s="6"/>
    </row>
    <row r="41" spans="4:13" x14ac:dyDescent="0.3">
      <c r="E41" s="50" t="s">
        <v>126</v>
      </c>
      <c r="F41" s="105" t="str">
        <f>CONCATENATE(ROUND((F40/F31)*100,2),"%")</f>
        <v>55.71%</v>
      </c>
      <c r="G41" s="15"/>
      <c r="H41" s="56"/>
      <c r="I41" s="15"/>
      <c r="J41" s="83"/>
      <c r="K41" s="83"/>
      <c r="L41" s="6"/>
      <c r="M41" s="26">
        <f>SUM(M33:M40)</f>
        <v>0</v>
      </c>
    </row>
    <row r="42" spans="4:13" x14ac:dyDescent="0.3">
      <c r="D42" s="39"/>
      <c r="L42" s="66" t="s">
        <v>70</v>
      </c>
      <c r="M42" s="39">
        <f>J40-M41</f>
        <v>120000</v>
      </c>
    </row>
    <row r="53" spans="7:7" x14ac:dyDescent="0.3">
      <c r="G53" s="39"/>
    </row>
    <row r="54" spans="7:7" x14ac:dyDescent="0.3">
      <c r="G54" s="39"/>
    </row>
    <row r="55" spans="7:7" x14ac:dyDescent="0.3">
      <c r="G55" s="14"/>
    </row>
    <row r="65" spans="6:6" x14ac:dyDescent="0.3">
      <c r="F65" s="39"/>
    </row>
  </sheetData>
  <mergeCells count="14">
    <mergeCell ref="H16:I16"/>
    <mergeCell ref="B1:F1"/>
    <mergeCell ref="H1:I1"/>
    <mergeCell ref="K1:L1"/>
    <mergeCell ref="B2:C2"/>
    <mergeCell ref="H2:I2"/>
    <mergeCell ref="B3:F3"/>
    <mergeCell ref="G3:I3"/>
    <mergeCell ref="J3:N3"/>
    <mergeCell ref="H4:I4"/>
    <mergeCell ref="G12:I12"/>
    <mergeCell ref="H13:I13"/>
    <mergeCell ref="H14:I14"/>
    <mergeCell ref="G15:I15"/>
  </mergeCells>
  <conditionalFormatting sqref="D5:D30">
    <cfRule type="duplicateValues" dxfId="67" priority="22"/>
  </conditionalFormatting>
  <conditionalFormatting sqref="E5:E30">
    <cfRule type="duplicateValues" dxfId="66" priority="24"/>
  </conditionalFormatting>
  <conditionalFormatting sqref="K1:L1">
    <cfRule type="cellIs" dxfId="65" priority="4" operator="greaterThan">
      <formula>0</formula>
    </cfRule>
    <cfRule type="cellIs" dxfId="64" priority="5" operator="lessThan">
      <formula>0</formula>
    </cfRule>
  </conditionalFormatting>
  <conditionalFormatting sqref="L5:L30">
    <cfRule type="duplicateValues" dxfId="63" priority="26"/>
  </conditionalFormatting>
  <conditionalFormatting sqref="M5:M30">
    <cfRule type="duplicateValues" dxfId="62" priority="27"/>
  </conditionalFormatting>
  <conditionalFormatting sqref="S24:S26">
    <cfRule type="duplicateValues" dxfId="61" priority="1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B8CF-F094-4CA1-A23D-2F9367EA0387}">
  <dimension ref="A1:N66"/>
  <sheetViews>
    <sheetView zoomScaleNormal="100" workbookViewId="0">
      <pane xSplit="13" ySplit="4" topLeftCell="N19" activePane="bottomRight" state="frozen"/>
      <selection pane="topRight" activeCell="M1" sqref="M1"/>
      <selection pane="bottomLeft" activeCell="A5" sqref="A5"/>
      <selection pane="bottomRight" activeCell="H40" sqref="H40"/>
    </sheetView>
  </sheetViews>
  <sheetFormatPr defaultRowHeight="14.4" x14ac:dyDescent="0.3"/>
  <cols>
    <col min="1" max="1" width="2.44140625" style="1" customWidth="1"/>
    <col min="2" max="2" width="3" style="6" bestFit="1" customWidth="1"/>
    <col min="3" max="3" width="10.33203125" style="6" bestFit="1" customWidth="1"/>
    <col min="4" max="4" width="25.109375" style="1" customWidth="1"/>
    <col min="5" max="5" width="18.44140625" style="1" customWidth="1"/>
    <col min="6" max="6" width="21.6640625" style="1" customWidth="1"/>
    <col min="7" max="7" width="10.33203125" style="1" bestFit="1" customWidth="1"/>
    <col min="8" max="8" width="12.109375" style="1" bestFit="1" customWidth="1"/>
    <col min="9" max="9" width="12.109375" style="1" customWidth="1"/>
    <col min="10" max="10" width="10.6640625" style="1" bestFit="1" customWidth="1"/>
    <col min="11" max="11" width="10.5546875" style="1" customWidth="1"/>
    <col min="12" max="12" width="31" style="1" bestFit="1" customWidth="1"/>
    <col min="13" max="13" width="15.88671875" style="1" customWidth="1"/>
    <col min="14" max="14" width="22.5546875" style="1" customWidth="1"/>
    <col min="15" max="16384" width="8.88671875" style="1"/>
  </cols>
  <sheetData>
    <row r="1" spans="1:14" ht="16.2" thickBot="1" x14ac:dyDescent="0.35">
      <c r="A1" s="42"/>
      <c r="B1" s="186" t="s">
        <v>180</v>
      </c>
      <c r="C1" s="187"/>
      <c r="D1" s="187"/>
      <c r="E1" s="187"/>
      <c r="F1" s="188"/>
      <c r="G1" s="16" t="s">
        <v>25</v>
      </c>
      <c r="H1" s="176">
        <v>45345</v>
      </c>
      <c r="I1" s="177"/>
      <c r="J1" s="17" t="s">
        <v>15</v>
      </c>
      <c r="K1" s="189">
        <f>M2-E2</f>
        <v>1098545</v>
      </c>
      <c r="L1" s="190"/>
      <c r="M1" s="18"/>
      <c r="N1" s="19"/>
    </row>
    <row r="2" spans="1:14" ht="15.6" x14ac:dyDescent="0.3">
      <c r="A2" s="41"/>
      <c r="B2" s="191"/>
      <c r="C2" s="192"/>
      <c r="D2" s="13" t="s">
        <v>14</v>
      </c>
      <c r="E2" s="12">
        <f>SUM(E5:E30)</f>
        <v>1601499</v>
      </c>
      <c r="F2" s="20"/>
      <c r="G2" s="31" t="s">
        <v>32</v>
      </c>
      <c r="H2" s="178" t="s">
        <v>254</v>
      </c>
      <c r="I2" s="193"/>
      <c r="J2" s="37"/>
      <c r="K2" s="10"/>
      <c r="L2" s="11" t="s">
        <v>14</v>
      </c>
      <c r="M2" s="12">
        <f>SUM(M5:M22)</f>
        <v>2700044</v>
      </c>
      <c r="N2" s="20"/>
    </row>
    <row r="3" spans="1:14" x14ac:dyDescent="0.3">
      <c r="B3" s="194" t="s">
        <v>36</v>
      </c>
      <c r="C3" s="195"/>
      <c r="D3" s="196"/>
      <c r="E3" s="196"/>
      <c r="F3" s="197"/>
      <c r="G3" s="180" t="s">
        <v>33</v>
      </c>
      <c r="H3" s="181"/>
      <c r="I3" s="181"/>
      <c r="J3" s="194" t="s">
        <v>37</v>
      </c>
      <c r="K3" s="195"/>
      <c r="L3" s="196"/>
      <c r="M3" s="196"/>
      <c r="N3" s="197"/>
    </row>
    <row r="4" spans="1:14" x14ac:dyDescent="0.3">
      <c r="A4" s="3"/>
      <c r="B4" s="40" t="s">
        <v>0</v>
      </c>
      <c r="C4" s="2" t="s">
        <v>3</v>
      </c>
      <c r="D4" s="3" t="s">
        <v>1</v>
      </c>
      <c r="E4" s="3" t="s">
        <v>13</v>
      </c>
      <c r="F4" s="22" t="s">
        <v>2</v>
      </c>
      <c r="G4" s="21" t="s">
        <v>3</v>
      </c>
      <c r="H4" s="198" t="s">
        <v>26</v>
      </c>
      <c r="I4" s="199"/>
      <c r="J4" s="21" t="s">
        <v>0</v>
      </c>
      <c r="K4" s="2" t="s">
        <v>3</v>
      </c>
      <c r="L4" s="3" t="s">
        <v>1</v>
      </c>
      <c r="M4" s="3" t="s">
        <v>13</v>
      </c>
      <c r="N4" s="22" t="s">
        <v>2</v>
      </c>
    </row>
    <row r="5" spans="1:14" x14ac:dyDescent="0.3">
      <c r="A5" s="15"/>
      <c r="B5" s="40">
        <v>1</v>
      </c>
      <c r="C5" s="7">
        <v>45344</v>
      </c>
      <c r="D5" s="8"/>
      <c r="E5" s="9"/>
      <c r="F5" s="23"/>
      <c r="G5" s="43">
        <v>45396</v>
      </c>
      <c r="H5" s="44">
        <v>124</v>
      </c>
      <c r="I5" s="47" t="str">
        <f>IF(ISBLANK(G5),"",CONCATENATE(G5-$H$1+1," days"))</f>
        <v>52 days</v>
      </c>
      <c r="J5" s="21">
        <v>1</v>
      </c>
      <c r="K5" s="4">
        <v>45399</v>
      </c>
      <c r="L5" s="3" t="s">
        <v>110</v>
      </c>
      <c r="M5" s="5">
        <v>432360</v>
      </c>
      <c r="N5" s="22"/>
    </row>
    <row r="6" spans="1:14" x14ac:dyDescent="0.3">
      <c r="A6" s="15"/>
      <c r="B6" s="40">
        <v>2</v>
      </c>
      <c r="C6" s="7"/>
      <c r="D6" s="8" t="s">
        <v>60</v>
      </c>
      <c r="E6" s="9">
        <v>1015118</v>
      </c>
      <c r="G6" s="43">
        <v>45399</v>
      </c>
      <c r="H6" s="44">
        <v>107</v>
      </c>
      <c r="I6" s="47" t="str">
        <f t="shared" ref="I6:I13" si="0">IF(ISBLANK(G6),"",CONCATENATE(G6-$H$1+1," days"))</f>
        <v>55 days</v>
      </c>
      <c r="J6" s="21">
        <v>2</v>
      </c>
      <c r="K6" s="4">
        <v>45408</v>
      </c>
      <c r="L6" s="3" t="s">
        <v>111</v>
      </c>
      <c r="M6" s="5">
        <v>454020</v>
      </c>
      <c r="N6" s="22"/>
    </row>
    <row r="7" spans="1:14" x14ac:dyDescent="0.3">
      <c r="A7" s="15"/>
      <c r="B7" s="40">
        <v>3</v>
      </c>
      <c r="D7" s="8" t="s">
        <v>67</v>
      </c>
      <c r="E7" s="9">
        <v>436381</v>
      </c>
      <c r="F7" s="23" t="s">
        <v>156</v>
      </c>
      <c r="G7" s="43">
        <v>45404</v>
      </c>
      <c r="H7" s="44">
        <v>88</v>
      </c>
      <c r="I7" s="47" t="str">
        <f t="shared" si="0"/>
        <v>60 days</v>
      </c>
      <c r="J7" s="21">
        <v>3</v>
      </c>
      <c r="K7" s="4">
        <v>45408</v>
      </c>
      <c r="L7" s="3" t="s">
        <v>59</v>
      </c>
      <c r="M7" s="5">
        <v>253179</v>
      </c>
      <c r="N7" s="22"/>
    </row>
    <row r="8" spans="1:14" x14ac:dyDescent="0.3">
      <c r="A8" s="15"/>
      <c r="B8" s="40">
        <v>4</v>
      </c>
      <c r="C8" s="7"/>
      <c r="D8" s="3" t="s">
        <v>71</v>
      </c>
      <c r="E8" s="5">
        <v>65000</v>
      </c>
      <c r="F8" s="22"/>
      <c r="G8" s="43">
        <v>45407</v>
      </c>
      <c r="H8" s="44">
        <v>80</v>
      </c>
      <c r="I8" s="47" t="str">
        <f t="shared" si="0"/>
        <v>63 days</v>
      </c>
      <c r="J8" s="21">
        <v>4</v>
      </c>
      <c r="K8" s="4">
        <v>45416</v>
      </c>
      <c r="L8" s="3" t="s">
        <v>112</v>
      </c>
      <c r="M8" s="5">
        <v>535000</v>
      </c>
      <c r="N8" s="22"/>
    </row>
    <row r="9" spans="1:14" x14ac:dyDescent="0.3">
      <c r="A9" s="15"/>
      <c r="B9" s="40">
        <v>5</v>
      </c>
      <c r="C9" s="7"/>
      <c r="D9" s="3" t="s">
        <v>60</v>
      </c>
      <c r="E9" s="5">
        <v>85000</v>
      </c>
      <c r="F9" s="22"/>
      <c r="G9" s="46">
        <v>45408</v>
      </c>
      <c r="H9" s="44">
        <v>78</v>
      </c>
      <c r="I9" s="47" t="str">
        <f t="shared" si="0"/>
        <v>64 days</v>
      </c>
      <c r="J9" s="21">
        <v>5</v>
      </c>
      <c r="K9" s="4">
        <v>45421</v>
      </c>
      <c r="L9" s="3" t="s">
        <v>66</v>
      </c>
      <c r="M9" s="5">
        <v>1025485</v>
      </c>
      <c r="N9" s="22"/>
    </row>
    <row r="10" spans="1:14" x14ac:dyDescent="0.3">
      <c r="A10" s="15"/>
      <c r="B10" s="40">
        <v>6</v>
      </c>
      <c r="C10" s="7"/>
      <c r="D10" s="3"/>
      <c r="E10" s="5"/>
      <c r="F10" s="22"/>
      <c r="G10" s="46">
        <v>45415</v>
      </c>
      <c r="H10" s="44">
        <v>62</v>
      </c>
      <c r="I10" s="47" t="str">
        <f t="shared" si="0"/>
        <v>71 days</v>
      </c>
      <c r="J10" s="21">
        <v>6</v>
      </c>
      <c r="K10" s="2"/>
      <c r="L10" s="3"/>
      <c r="M10" s="5"/>
      <c r="N10" s="22"/>
    </row>
    <row r="11" spans="1:14" x14ac:dyDescent="0.3">
      <c r="A11" s="15"/>
      <c r="B11" s="40">
        <v>7</v>
      </c>
      <c r="C11" s="7"/>
      <c r="D11" s="3"/>
      <c r="E11" s="5"/>
      <c r="F11" s="22"/>
      <c r="G11" s="46">
        <v>45416</v>
      </c>
      <c r="H11" s="44">
        <v>65</v>
      </c>
      <c r="I11" s="47" t="str">
        <f t="shared" si="0"/>
        <v>72 days</v>
      </c>
      <c r="J11" s="21">
        <v>7</v>
      </c>
      <c r="K11" s="2"/>
      <c r="L11" s="3"/>
      <c r="M11" s="5"/>
      <c r="N11" s="22"/>
    </row>
    <row r="12" spans="1:14" x14ac:dyDescent="0.3">
      <c r="A12" s="15"/>
      <c r="B12" s="40">
        <v>8</v>
      </c>
      <c r="C12" s="7"/>
      <c r="D12" s="3"/>
      <c r="E12" s="5"/>
      <c r="F12" s="55"/>
      <c r="G12" s="46">
        <v>45419</v>
      </c>
      <c r="H12" s="44">
        <v>58</v>
      </c>
      <c r="I12" s="47" t="str">
        <f t="shared" si="0"/>
        <v>75 days</v>
      </c>
      <c r="J12" s="40">
        <v>8</v>
      </c>
      <c r="K12" s="2"/>
      <c r="L12" s="3"/>
      <c r="M12" s="5"/>
      <c r="N12" s="22"/>
    </row>
    <row r="13" spans="1:14" x14ac:dyDescent="0.3">
      <c r="A13" s="15"/>
      <c r="B13" s="40">
        <v>9</v>
      </c>
      <c r="C13" s="7"/>
      <c r="D13" s="3"/>
      <c r="E13" s="5"/>
      <c r="F13" s="55"/>
      <c r="G13" s="46">
        <v>45421</v>
      </c>
      <c r="H13" s="44">
        <v>58</v>
      </c>
      <c r="I13" s="47" t="str">
        <f t="shared" si="0"/>
        <v>77 days</v>
      </c>
      <c r="J13" s="40">
        <v>9</v>
      </c>
      <c r="K13" s="2"/>
      <c r="L13" s="3"/>
      <c r="M13" s="5"/>
      <c r="N13" s="22"/>
    </row>
    <row r="14" spans="1:14" ht="15" thickBot="1" x14ac:dyDescent="0.35">
      <c r="A14" s="15"/>
      <c r="B14" s="40">
        <v>10</v>
      </c>
      <c r="C14" s="7"/>
      <c r="D14" s="3"/>
      <c r="E14" s="5"/>
      <c r="F14" s="67"/>
      <c r="G14" s="173" t="s">
        <v>90</v>
      </c>
      <c r="H14" s="174"/>
      <c r="I14" s="175"/>
      <c r="J14" s="21">
        <v>10</v>
      </c>
      <c r="K14" s="2"/>
      <c r="L14" s="3"/>
      <c r="M14" s="5"/>
      <c r="N14" s="22"/>
    </row>
    <row r="15" spans="1:14" ht="15" thickBot="1" x14ac:dyDescent="0.35">
      <c r="A15" s="15"/>
      <c r="B15" s="40">
        <v>11</v>
      </c>
      <c r="C15" s="7"/>
      <c r="D15" s="3"/>
      <c r="E15" s="5"/>
      <c r="F15" s="22"/>
      <c r="G15" s="16" t="s">
        <v>25</v>
      </c>
      <c r="H15" s="176">
        <v>45345</v>
      </c>
      <c r="I15" s="177"/>
      <c r="J15" s="21">
        <v>11</v>
      </c>
      <c r="K15" s="2"/>
      <c r="L15" s="3"/>
      <c r="M15" s="5"/>
      <c r="N15" s="22"/>
    </row>
    <row r="16" spans="1:14" x14ac:dyDescent="0.3">
      <c r="A16" s="15"/>
      <c r="B16" s="40">
        <v>12</v>
      </c>
      <c r="C16" s="7"/>
      <c r="D16" s="3"/>
      <c r="E16" s="5"/>
      <c r="F16" s="22"/>
      <c r="G16" s="31" t="s">
        <v>32</v>
      </c>
      <c r="H16" s="53" t="s">
        <v>254</v>
      </c>
      <c r="I16" s="54"/>
      <c r="J16" s="21">
        <v>12</v>
      </c>
      <c r="K16" s="2"/>
      <c r="L16" s="3"/>
      <c r="M16" s="5"/>
      <c r="N16" s="22"/>
    </row>
    <row r="17" spans="1:14" x14ac:dyDescent="0.3">
      <c r="A17" s="15"/>
      <c r="B17" s="40">
        <v>13</v>
      </c>
      <c r="C17" s="7"/>
      <c r="D17" s="3"/>
      <c r="E17" s="5"/>
      <c r="F17" s="22"/>
      <c r="G17" s="180" t="s">
        <v>33</v>
      </c>
      <c r="H17" s="181"/>
      <c r="I17" s="182"/>
      <c r="J17" s="21">
        <v>13</v>
      </c>
      <c r="K17" s="2"/>
      <c r="L17" s="3"/>
      <c r="M17" s="5"/>
      <c r="N17" s="22"/>
    </row>
    <row r="18" spans="1:14" x14ac:dyDescent="0.3">
      <c r="A18" s="15"/>
      <c r="B18" s="40">
        <v>14</v>
      </c>
      <c r="C18" s="7"/>
      <c r="D18" s="3"/>
      <c r="E18" s="5"/>
      <c r="F18" s="22"/>
      <c r="G18" s="21" t="s">
        <v>3</v>
      </c>
      <c r="H18" s="51" t="s">
        <v>26</v>
      </c>
      <c r="I18" s="52"/>
      <c r="J18" s="21">
        <v>14</v>
      </c>
      <c r="K18" s="2"/>
      <c r="L18" s="3"/>
      <c r="M18" s="5"/>
      <c r="N18" s="22"/>
    </row>
    <row r="19" spans="1:14" x14ac:dyDescent="0.3">
      <c r="A19" s="15"/>
      <c r="B19" s="40">
        <v>15</v>
      </c>
      <c r="C19" s="7"/>
      <c r="D19" s="3"/>
      <c r="E19" s="5"/>
      <c r="F19" s="22"/>
      <c r="G19" s="43">
        <v>45404</v>
      </c>
      <c r="H19" s="44">
        <v>60</v>
      </c>
      <c r="I19" s="47" t="str">
        <f>IF(ISBLANK(G19),"",CONCATENATE(G19-$H$15+1," days"))</f>
        <v>60 days</v>
      </c>
      <c r="J19" s="21">
        <v>15</v>
      </c>
      <c r="K19" s="2"/>
      <c r="L19" s="3"/>
      <c r="M19" s="5"/>
      <c r="N19" s="22"/>
    </row>
    <row r="20" spans="1:14" x14ac:dyDescent="0.3">
      <c r="A20" s="15"/>
      <c r="B20" s="40">
        <v>16</v>
      </c>
      <c r="C20" s="4"/>
      <c r="D20" s="3"/>
      <c r="E20" s="5"/>
      <c r="F20" s="22"/>
      <c r="G20" s="43">
        <v>45408</v>
      </c>
      <c r="H20" s="44">
        <v>57</v>
      </c>
      <c r="I20" s="47" t="str">
        <f>IF(ISBLANK(G20),"",CONCATENATE(G20-$H$15+1," days"))</f>
        <v>64 days</v>
      </c>
      <c r="J20" s="21">
        <v>16</v>
      </c>
      <c r="K20" s="2"/>
      <c r="L20" s="3"/>
      <c r="M20" s="5"/>
      <c r="N20" s="22"/>
    </row>
    <row r="21" spans="1:14" x14ac:dyDescent="0.3">
      <c r="A21" s="15"/>
      <c r="B21" s="40">
        <v>17</v>
      </c>
      <c r="C21" s="4"/>
      <c r="D21" s="3"/>
      <c r="E21" s="5"/>
      <c r="F21" s="22"/>
      <c r="G21" s="43"/>
      <c r="H21" s="44"/>
      <c r="I21" s="47" t="str">
        <f>IF(ISBLANK(G21),"",CONCATENATE("(",G21-$H$15+1," days)"))</f>
        <v/>
      </c>
      <c r="J21" s="21">
        <v>17</v>
      </c>
      <c r="K21" s="2"/>
      <c r="L21" s="3"/>
      <c r="M21" s="5"/>
      <c r="N21" s="22"/>
    </row>
    <row r="22" spans="1:14" x14ac:dyDescent="0.3">
      <c r="A22" s="15"/>
      <c r="B22" s="40">
        <v>18</v>
      </c>
      <c r="C22" s="4"/>
      <c r="D22" s="3"/>
      <c r="E22" s="5"/>
      <c r="F22" s="22"/>
      <c r="G22" s="32"/>
      <c r="H22" s="44"/>
      <c r="I22" s="47" t="str">
        <f>IF(ISBLANK(G22),"",CONCATENATE("(",G22-$H$15+1," days)"))</f>
        <v/>
      </c>
      <c r="J22" s="21">
        <v>18</v>
      </c>
      <c r="K22" s="2"/>
      <c r="L22" s="3"/>
      <c r="M22" s="5"/>
      <c r="N22" s="22"/>
    </row>
    <row r="23" spans="1:14" x14ac:dyDescent="0.3">
      <c r="A23" s="15"/>
      <c r="B23" s="40">
        <v>19</v>
      </c>
      <c r="C23" s="4"/>
      <c r="D23" s="3"/>
      <c r="E23" s="5"/>
      <c r="F23" s="22"/>
      <c r="G23" s="34"/>
      <c r="H23" s="44"/>
      <c r="I23" s="47"/>
      <c r="J23" s="34"/>
      <c r="K23" s="15"/>
      <c r="L23" s="15"/>
      <c r="M23" s="15"/>
      <c r="N23" s="33"/>
    </row>
    <row r="24" spans="1:14" x14ac:dyDescent="0.3">
      <c r="A24" s="15"/>
      <c r="B24" s="40">
        <v>20</v>
      </c>
      <c r="C24" s="4"/>
      <c r="D24" s="3"/>
      <c r="E24" s="5"/>
      <c r="F24" s="22"/>
      <c r="G24" s="34"/>
      <c r="H24" s="44"/>
      <c r="I24" s="47"/>
      <c r="J24" s="34"/>
      <c r="K24" s="15"/>
      <c r="L24" s="15"/>
      <c r="M24" s="15"/>
      <c r="N24" s="33"/>
    </row>
    <row r="25" spans="1:14" x14ac:dyDescent="0.3">
      <c r="A25" s="15"/>
      <c r="B25" s="40">
        <v>21</v>
      </c>
      <c r="C25" s="4"/>
      <c r="D25" s="3"/>
      <c r="E25" s="5"/>
      <c r="F25" s="22"/>
      <c r="G25" s="34"/>
      <c r="H25" s="44"/>
      <c r="I25" s="47"/>
      <c r="J25" s="34"/>
      <c r="K25" s="15"/>
      <c r="L25" s="15"/>
      <c r="M25" s="15"/>
      <c r="N25" s="33"/>
    </row>
    <row r="26" spans="1:14" x14ac:dyDescent="0.3">
      <c r="A26" s="68"/>
      <c r="B26" s="40">
        <v>22</v>
      </c>
      <c r="C26" s="69"/>
      <c r="D26" s="70"/>
      <c r="E26" s="71"/>
      <c r="F26" s="72"/>
      <c r="G26" s="73"/>
      <c r="H26" s="74"/>
      <c r="I26" s="75"/>
      <c r="J26" s="73"/>
      <c r="K26" s="68"/>
      <c r="L26" s="68"/>
      <c r="M26" s="68"/>
      <c r="N26" s="76"/>
    </row>
    <row r="27" spans="1:14" x14ac:dyDescent="0.3">
      <c r="A27" s="68"/>
      <c r="B27" s="40">
        <v>23</v>
      </c>
      <c r="C27" s="69"/>
      <c r="D27" s="70"/>
      <c r="E27" s="71"/>
      <c r="F27" s="72"/>
      <c r="G27" s="73"/>
      <c r="H27" s="74"/>
      <c r="I27" s="75"/>
      <c r="J27" s="73"/>
      <c r="K27" s="68"/>
      <c r="L27" s="68"/>
      <c r="M27" s="68"/>
      <c r="N27" s="76"/>
    </row>
    <row r="28" spans="1:14" x14ac:dyDescent="0.3">
      <c r="A28" s="68"/>
      <c r="B28" s="40">
        <v>24</v>
      </c>
      <c r="C28" s="69"/>
      <c r="D28" s="70"/>
      <c r="E28" s="71"/>
      <c r="F28" s="72"/>
      <c r="G28" s="73"/>
      <c r="H28" s="74"/>
      <c r="I28" s="75"/>
      <c r="J28" s="73"/>
      <c r="K28" s="68"/>
      <c r="L28" s="68"/>
      <c r="M28" s="68"/>
      <c r="N28" s="76"/>
    </row>
    <row r="29" spans="1:14" x14ac:dyDescent="0.3">
      <c r="A29" s="68"/>
      <c r="B29" s="40">
        <v>25</v>
      </c>
      <c r="C29" s="69"/>
      <c r="D29" s="70"/>
      <c r="E29" s="71"/>
      <c r="F29" s="72"/>
      <c r="G29" s="73"/>
      <c r="H29" s="74"/>
      <c r="I29" s="75"/>
      <c r="J29" s="73"/>
      <c r="K29" s="68"/>
      <c r="L29" s="68"/>
      <c r="M29" s="68"/>
      <c r="N29" s="76"/>
    </row>
    <row r="30" spans="1:14" ht="15" thickBot="1" x14ac:dyDescent="0.35">
      <c r="A30" s="38"/>
      <c r="B30" s="77"/>
      <c r="C30" s="27"/>
      <c r="D30" s="28"/>
      <c r="E30" s="61"/>
      <c r="F30" s="62"/>
      <c r="G30" s="35"/>
      <c r="H30" s="45"/>
      <c r="I30" s="49"/>
      <c r="J30" s="35"/>
      <c r="K30" s="38"/>
      <c r="L30" s="38"/>
      <c r="M30" s="38"/>
      <c r="N30" s="36"/>
    </row>
    <row r="31" spans="1:14" x14ac:dyDescent="0.3">
      <c r="B31" s="24"/>
      <c r="C31" s="25"/>
      <c r="E31" s="64" t="s">
        <v>65</v>
      </c>
      <c r="F31" s="63">
        <v>700000</v>
      </c>
      <c r="G31" s="90" t="s">
        <v>186</v>
      </c>
      <c r="H31" s="125">
        <v>900000</v>
      </c>
      <c r="I31" s="59" t="s">
        <v>187</v>
      </c>
      <c r="J31" s="59">
        <v>150000</v>
      </c>
    </row>
    <row r="32" spans="1:14" x14ac:dyDescent="0.3">
      <c r="E32" s="59" t="s">
        <v>62</v>
      </c>
      <c r="F32" s="90" t="s">
        <v>54</v>
      </c>
      <c r="G32" s="90" t="s">
        <v>26</v>
      </c>
      <c r="H32" s="90" t="s">
        <v>95</v>
      </c>
      <c r="I32" s="90" t="s">
        <v>63</v>
      </c>
      <c r="J32" s="90" t="s">
        <v>64</v>
      </c>
      <c r="K32" s="90"/>
    </row>
    <row r="33" spans="4:13" x14ac:dyDescent="0.3">
      <c r="E33" s="15" t="s">
        <v>299</v>
      </c>
      <c r="F33" s="57">
        <f>H33*G33</f>
        <v>210148</v>
      </c>
      <c r="G33" s="57">
        <v>107</v>
      </c>
      <c r="H33" s="65">
        <v>1964</v>
      </c>
      <c r="I33" s="60">
        <v>220</v>
      </c>
      <c r="J33" s="137">
        <f>H33*I33</f>
        <v>432080</v>
      </c>
      <c r="K33" s="137"/>
      <c r="L33" s="6"/>
    </row>
    <row r="34" spans="4:13" x14ac:dyDescent="0.3">
      <c r="E34" s="15" t="s">
        <v>56</v>
      </c>
      <c r="F34" s="57">
        <f t="shared" ref="F34:F39" si="1">H34*G34</f>
        <v>165200</v>
      </c>
      <c r="G34" s="57">
        <v>80</v>
      </c>
      <c r="H34" s="65">
        <v>2065</v>
      </c>
      <c r="I34" s="60">
        <v>220</v>
      </c>
      <c r="J34" s="137">
        <f t="shared" ref="J34:J37" si="2">H34*I34</f>
        <v>454300</v>
      </c>
      <c r="K34" s="137"/>
      <c r="L34" s="6"/>
    </row>
    <row r="35" spans="4:13" x14ac:dyDescent="0.3">
      <c r="E35" s="15" t="s">
        <v>57</v>
      </c>
      <c r="F35" s="57">
        <f t="shared" si="1"/>
        <v>56640</v>
      </c>
      <c r="G35" s="57">
        <v>60</v>
      </c>
      <c r="H35" s="65">
        <v>944</v>
      </c>
      <c r="I35" s="60">
        <v>270</v>
      </c>
      <c r="J35" s="137">
        <f t="shared" si="2"/>
        <v>254880</v>
      </c>
      <c r="K35" s="137"/>
      <c r="L35" s="6"/>
    </row>
    <row r="36" spans="4:13" x14ac:dyDescent="0.3">
      <c r="E36" s="15" t="s">
        <v>300</v>
      </c>
      <c r="F36" s="57">
        <f t="shared" si="1"/>
        <v>151480</v>
      </c>
      <c r="G36" s="57">
        <v>70</v>
      </c>
      <c r="H36" s="65">
        <v>2164</v>
      </c>
      <c r="I36" s="60">
        <v>250</v>
      </c>
      <c r="J36" s="137">
        <f t="shared" si="2"/>
        <v>541000</v>
      </c>
      <c r="K36" s="137"/>
      <c r="L36" s="6"/>
    </row>
    <row r="37" spans="4:13" x14ac:dyDescent="0.3">
      <c r="E37" s="15" t="s">
        <v>58</v>
      </c>
      <c r="F37" s="57">
        <f t="shared" si="1"/>
        <v>224400</v>
      </c>
      <c r="G37" s="57">
        <v>60</v>
      </c>
      <c r="H37" s="65">
        <v>3740</v>
      </c>
      <c r="I37" s="60">
        <v>270</v>
      </c>
      <c r="J37" s="137">
        <f t="shared" si="2"/>
        <v>1009800</v>
      </c>
      <c r="K37" s="137"/>
      <c r="L37" s="6"/>
    </row>
    <row r="38" spans="4:13" x14ac:dyDescent="0.3">
      <c r="E38" s="15"/>
      <c r="F38" s="57"/>
      <c r="G38" s="57"/>
      <c r="H38" s="65"/>
      <c r="I38" s="60"/>
      <c r="J38" s="137">
        <f t="shared" ref="J38:J39" si="3">H38*I38</f>
        <v>0</v>
      </c>
      <c r="K38" s="137"/>
      <c r="L38" s="6"/>
    </row>
    <row r="39" spans="4:13" x14ac:dyDescent="0.3">
      <c r="E39" s="15"/>
      <c r="F39" s="57">
        <f t="shared" si="1"/>
        <v>0</v>
      </c>
      <c r="G39" s="57"/>
      <c r="H39" s="65"/>
      <c r="I39" s="60"/>
      <c r="J39" s="137">
        <f t="shared" si="3"/>
        <v>0</v>
      </c>
      <c r="K39" s="137"/>
      <c r="L39" s="6"/>
    </row>
    <row r="40" spans="4:13" x14ac:dyDescent="0.3">
      <c r="E40" s="50" t="s">
        <v>61</v>
      </c>
      <c r="F40" s="58">
        <f>SUM(F33:F38)</f>
        <v>807868</v>
      </c>
      <c r="G40" s="58"/>
      <c r="H40" s="58">
        <f>SUM(H33:H39)</f>
        <v>10877</v>
      </c>
      <c r="I40" s="50"/>
      <c r="J40" s="138">
        <f>SUM(J33:J39)</f>
        <v>2692060</v>
      </c>
      <c r="K40" s="138"/>
      <c r="L40" s="6"/>
    </row>
    <row r="41" spans="4:13" x14ac:dyDescent="0.3">
      <c r="E41" s="50" t="s">
        <v>126</v>
      </c>
      <c r="F41" s="105" t="str">
        <f>CONCATENATE(ROUND((F40/F31)*100,2),"%")</f>
        <v>115.41%</v>
      </c>
      <c r="G41" s="15"/>
      <c r="H41" s="56"/>
      <c r="I41" s="15"/>
      <c r="J41" s="83"/>
      <c r="K41" s="83"/>
      <c r="L41" s="6"/>
      <c r="M41" s="26">
        <f>SUM(M33:M40)</f>
        <v>0</v>
      </c>
    </row>
    <row r="42" spans="4:13" x14ac:dyDescent="0.3">
      <c r="D42" s="39"/>
      <c r="L42" s="66" t="s">
        <v>70</v>
      </c>
      <c r="M42" s="39">
        <f>J40-M41</f>
        <v>2692060</v>
      </c>
    </row>
    <row r="43" spans="4:13" x14ac:dyDescent="0.3">
      <c r="K43" s="14"/>
    </row>
    <row r="44" spans="4:13" x14ac:dyDescent="0.3">
      <c r="D44" s="39"/>
    </row>
    <row r="45" spans="4:13" x14ac:dyDescent="0.3">
      <c r="K45" s="14"/>
    </row>
    <row r="47" spans="4:13" x14ac:dyDescent="0.3">
      <c r="K47" s="26"/>
    </row>
    <row r="48" spans="4:13" x14ac:dyDescent="0.3">
      <c r="H48" s="26"/>
    </row>
    <row r="49" spans="7:11" x14ac:dyDescent="0.3">
      <c r="K49" s="39"/>
    </row>
    <row r="54" spans="7:11" x14ac:dyDescent="0.3">
      <c r="G54" s="39"/>
    </row>
    <row r="55" spans="7:11" x14ac:dyDescent="0.3">
      <c r="G55" s="39"/>
    </row>
    <row r="56" spans="7:11" x14ac:dyDescent="0.3">
      <c r="G56" s="14"/>
    </row>
    <row r="66" spans="6:6" x14ac:dyDescent="0.3">
      <c r="F66" s="39"/>
    </row>
  </sheetData>
  <mergeCells count="12">
    <mergeCell ref="B1:F1"/>
    <mergeCell ref="H1:I1"/>
    <mergeCell ref="K1:L1"/>
    <mergeCell ref="B2:C2"/>
    <mergeCell ref="H2:I2"/>
    <mergeCell ref="G17:I17"/>
    <mergeCell ref="H15:I15"/>
    <mergeCell ref="B3:F3"/>
    <mergeCell ref="G3:I3"/>
    <mergeCell ref="J3:N3"/>
    <mergeCell ref="H4:I4"/>
    <mergeCell ref="G14:I14"/>
  </mergeCells>
  <conditionalFormatting sqref="K1:L1">
    <cfRule type="cellIs" dxfId="60" priority="4" operator="greaterThan">
      <formula>0</formula>
    </cfRule>
    <cfRule type="cellIs" dxfId="59" priority="5" operator="lessThan">
      <formula>0</formula>
    </cfRule>
  </conditionalFormatting>
  <conditionalFormatting sqref="L5:L22">
    <cfRule type="duplicateValues" dxfId="58" priority="20"/>
  </conditionalFormatting>
  <conditionalFormatting sqref="M5:M22">
    <cfRule type="duplicateValues" dxfId="57" priority="21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C25D-E4E3-456C-98C3-1632B2D4ED1A}">
  <dimension ref="A1:N66"/>
  <sheetViews>
    <sheetView zoomScale="90" zoomScaleNormal="90" workbookViewId="0">
      <pane xSplit="13" ySplit="4" topLeftCell="N13" activePane="bottomRight" state="frozen"/>
      <selection pane="topRight" activeCell="M1" sqref="M1"/>
      <selection pane="bottomLeft" activeCell="A5" sqref="A5"/>
      <selection pane="bottomRight" activeCell="H36" sqref="H36"/>
    </sheetView>
  </sheetViews>
  <sheetFormatPr defaultRowHeight="14.4" x14ac:dyDescent="0.3"/>
  <cols>
    <col min="1" max="1" width="9.5546875" style="1" bestFit="1" customWidth="1"/>
    <col min="2" max="2" width="8.88671875" style="6"/>
    <col min="3" max="3" width="13.77734375" style="6" bestFit="1" customWidth="1"/>
    <col min="4" max="4" width="27.44140625" style="1" customWidth="1"/>
    <col min="5" max="5" width="18.44140625" style="1" customWidth="1"/>
    <col min="6" max="6" width="21.6640625" style="1" customWidth="1"/>
    <col min="7" max="7" width="13.77734375" style="1" bestFit="1" customWidth="1"/>
    <col min="8" max="8" width="12.109375" style="1" bestFit="1" customWidth="1"/>
    <col min="9" max="9" width="12.109375" style="1" customWidth="1"/>
    <col min="10" max="10" width="11.44140625" style="1" bestFit="1" customWidth="1"/>
    <col min="11" max="11" width="13.77734375" style="1" bestFit="1" customWidth="1"/>
    <col min="12" max="12" width="37.6640625" style="1" bestFit="1" customWidth="1"/>
    <col min="13" max="13" width="15.88671875" style="1" customWidth="1"/>
    <col min="14" max="14" width="22.5546875" style="1" customWidth="1"/>
    <col min="15" max="16384" width="8.88671875" style="1"/>
  </cols>
  <sheetData>
    <row r="1" spans="1:14" ht="16.2" thickBot="1" x14ac:dyDescent="0.35">
      <c r="A1" s="42"/>
      <c r="B1" s="186" t="s">
        <v>181</v>
      </c>
      <c r="C1" s="187"/>
      <c r="D1" s="187"/>
      <c r="E1" s="187"/>
      <c r="F1" s="188"/>
      <c r="G1" s="16" t="s">
        <v>25</v>
      </c>
      <c r="H1" s="176">
        <v>45477</v>
      </c>
      <c r="I1" s="177"/>
      <c r="J1" s="17" t="s">
        <v>15</v>
      </c>
      <c r="K1" s="189">
        <f>M2-E2</f>
        <v>391120</v>
      </c>
      <c r="L1" s="190"/>
      <c r="M1" s="18"/>
      <c r="N1" s="19"/>
    </row>
    <row r="2" spans="1:14" ht="15.6" x14ac:dyDescent="0.3">
      <c r="A2" s="41"/>
      <c r="B2" s="191"/>
      <c r="C2" s="192"/>
      <c r="D2" s="13" t="s">
        <v>14</v>
      </c>
      <c r="E2" s="12">
        <f>SUM(E5:E30)</f>
        <v>1221202</v>
      </c>
      <c r="F2" s="20"/>
      <c r="G2" s="31" t="s">
        <v>32</v>
      </c>
      <c r="H2" s="178" t="s">
        <v>255</v>
      </c>
      <c r="I2" s="193"/>
      <c r="J2" s="37"/>
      <c r="K2" s="10"/>
      <c r="L2" s="11" t="s">
        <v>14</v>
      </c>
      <c r="M2" s="12">
        <f>SUM(M5:M22)</f>
        <v>1612322</v>
      </c>
      <c r="N2" s="20"/>
    </row>
    <row r="3" spans="1:14" x14ac:dyDescent="0.3">
      <c r="B3" s="194" t="s">
        <v>36</v>
      </c>
      <c r="C3" s="195"/>
      <c r="D3" s="196"/>
      <c r="E3" s="196"/>
      <c r="F3" s="197"/>
      <c r="G3" s="180" t="s">
        <v>33</v>
      </c>
      <c r="H3" s="181"/>
      <c r="I3" s="181"/>
      <c r="J3" s="194" t="s">
        <v>37</v>
      </c>
      <c r="K3" s="195"/>
      <c r="L3" s="196"/>
      <c r="M3" s="196"/>
      <c r="N3" s="197"/>
    </row>
    <row r="4" spans="1:14" x14ac:dyDescent="0.3">
      <c r="A4" s="3"/>
      <c r="B4" s="40" t="s">
        <v>0</v>
      </c>
      <c r="C4" s="2" t="s">
        <v>3</v>
      </c>
      <c r="D4" s="3" t="s">
        <v>1</v>
      </c>
      <c r="E4" s="3" t="s">
        <v>13</v>
      </c>
      <c r="F4" s="22" t="s">
        <v>2</v>
      </c>
      <c r="G4" s="21" t="s">
        <v>3</v>
      </c>
      <c r="H4" s="198" t="s">
        <v>26</v>
      </c>
      <c r="I4" s="199"/>
      <c r="J4" s="21" t="s">
        <v>0</v>
      </c>
      <c r="K4" s="2" t="s">
        <v>3</v>
      </c>
      <c r="L4" s="3" t="s">
        <v>1</v>
      </c>
      <c r="M4" s="3" t="s">
        <v>13</v>
      </c>
      <c r="N4" s="22" t="s">
        <v>2</v>
      </c>
    </row>
    <row r="5" spans="1:14" x14ac:dyDescent="0.3">
      <c r="A5" s="15"/>
      <c r="B5" s="40">
        <v>1</v>
      </c>
      <c r="C5" s="7">
        <v>45446</v>
      </c>
      <c r="D5" s="26" t="s">
        <v>72</v>
      </c>
      <c r="E5" s="9">
        <v>40000</v>
      </c>
      <c r="F5" s="23"/>
      <c r="G5" s="43">
        <v>45527</v>
      </c>
      <c r="H5" s="44">
        <v>110</v>
      </c>
      <c r="I5" s="47" t="str">
        <f>IF(ISBLANK(G5),"",CONCATENATE(G5-$H$1+1," days"))</f>
        <v>51 days</v>
      </c>
      <c r="J5" s="21">
        <v>1</v>
      </c>
      <c r="K5" s="4">
        <v>45534</v>
      </c>
      <c r="L5" s="3" t="s">
        <v>76</v>
      </c>
      <c r="M5" s="5">
        <v>1334590</v>
      </c>
      <c r="N5" s="22"/>
    </row>
    <row r="6" spans="1:14" x14ac:dyDescent="0.3">
      <c r="A6" s="15"/>
      <c r="B6" s="40">
        <v>2</v>
      </c>
      <c r="C6" s="7">
        <v>45477</v>
      </c>
      <c r="D6" s="8" t="s">
        <v>19</v>
      </c>
      <c r="E6" s="9">
        <v>262500</v>
      </c>
      <c r="F6" s="23" t="s">
        <v>157</v>
      </c>
      <c r="G6" s="43">
        <v>45534</v>
      </c>
      <c r="H6" s="44">
        <v>111</v>
      </c>
      <c r="I6" s="47" t="str">
        <f>IF(ISBLANK(G6),"",CONCATENATE(G6-$H$1+1," days"))</f>
        <v>58 days</v>
      </c>
      <c r="J6" s="21">
        <v>2</v>
      </c>
      <c r="K6" s="4">
        <v>45543</v>
      </c>
      <c r="L6" s="3" t="s">
        <v>85</v>
      </c>
      <c r="M6" s="5">
        <v>277732</v>
      </c>
      <c r="N6" s="22"/>
    </row>
    <row r="7" spans="1:14" x14ac:dyDescent="0.3">
      <c r="A7" s="15"/>
      <c r="B7" s="40">
        <v>3</v>
      </c>
      <c r="C7" s="7">
        <v>45477</v>
      </c>
      <c r="D7" s="8" t="s">
        <v>74</v>
      </c>
      <c r="E7" s="9">
        <v>12000</v>
      </c>
      <c r="F7" s="9"/>
      <c r="G7" s="23"/>
      <c r="H7" s="44"/>
      <c r="I7" s="47" t="str">
        <f>IF(ISBLANK(G7),"",CONCATENATE("(",G7-$H$1+1," days)"))</f>
        <v/>
      </c>
      <c r="J7" s="21">
        <v>3</v>
      </c>
      <c r="K7" s="4"/>
      <c r="L7" s="3"/>
      <c r="M7" s="5"/>
      <c r="N7" s="22"/>
    </row>
    <row r="8" spans="1:14" x14ac:dyDescent="0.3">
      <c r="A8" s="15"/>
      <c r="B8" s="40">
        <v>4</v>
      </c>
      <c r="C8" s="25">
        <v>45474</v>
      </c>
      <c r="D8" s="8" t="s">
        <v>73</v>
      </c>
      <c r="E8" s="9">
        <v>30000</v>
      </c>
      <c r="F8" s="22"/>
      <c r="G8" s="43"/>
      <c r="H8" s="44"/>
      <c r="I8" s="47" t="str">
        <f>IF(ISBLANK(G8),"",CONCATENATE("(",G8-$H$1+1," days)"))</f>
        <v/>
      </c>
      <c r="J8" s="21">
        <v>4</v>
      </c>
      <c r="K8" s="4"/>
      <c r="L8" s="3"/>
      <c r="M8" s="5"/>
      <c r="N8" s="22"/>
    </row>
    <row r="9" spans="1:14" x14ac:dyDescent="0.3">
      <c r="A9" s="15"/>
      <c r="B9" s="40">
        <v>5</v>
      </c>
      <c r="C9" s="7">
        <v>45537</v>
      </c>
      <c r="D9" s="3" t="s">
        <v>80</v>
      </c>
      <c r="E9" s="5">
        <v>623857</v>
      </c>
      <c r="F9" s="22" t="s">
        <v>79</v>
      </c>
      <c r="G9" s="46"/>
      <c r="H9" s="44"/>
      <c r="I9" s="47" t="str">
        <f>IF(ISBLANK(G9),"",CONCATENATE("(",G9-$H$1+1," days)"))</f>
        <v/>
      </c>
      <c r="J9" s="21">
        <v>5</v>
      </c>
      <c r="K9" s="4"/>
      <c r="L9" s="3"/>
      <c r="M9" s="5"/>
      <c r="N9" s="22"/>
    </row>
    <row r="10" spans="1:14" x14ac:dyDescent="0.3">
      <c r="A10" s="15"/>
      <c r="B10" s="40">
        <v>6</v>
      </c>
      <c r="C10" s="7">
        <v>45550</v>
      </c>
      <c r="D10" s="3" t="s">
        <v>81</v>
      </c>
      <c r="E10" s="5">
        <v>133202</v>
      </c>
      <c r="F10" s="22"/>
      <c r="G10" s="46"/>
      <c r="H10" s="44"/>
      <c r="I10" s="47" t="str">
        <f t="shared" ref="I10" si="0">IF(ISBLANK(G10),"",CONCATENATE("(",G10-$H$1+1," days)"))</f>
        <v/>
      </c>
      <c r="J10" s="21">
        <v>6</v>
      </c>
      <c r="K10" s="2"/>
      <c r="L10" s="3"/>
      <c r="M10" s="5"/>
      <c r="N10" s="22"/>
    </row>
    <row r="11" spans="1:14" x14ac:dyDescent="0.3">
      <c r="A11" s="15"/>
      <c r="B11" s="40">
        <v>7</v>
      </c>
      <c r="C11" s="7">
        <v>45534</v>
      </c>
      <c r="D11" s="3" t="s">
        <v>84</v>
      </c>
      <c r="E11" s="5">
        <v>100000</v>
      </c>
      <c r="F11" s="22"/>
      <c r="G11" s="46"/>
      <c r="H11" s="44"/>
      <c r="I11" s="47" t="str">
        <f>IF(ISBLANK(G11),"",CONCATENATE("(",G11-$H$1+1," days)"))</f>
        <v/>
      </c>
      <c r="J11" s="21">
        <v>7</v>
      </c>
      <c r="K11" s="2"/>
      <c r="L11" s="3"/>
      <c r="M11" s="5"/>
      <c r="N11" s="22"/>
    </row>
    <row r="12" spans="1:14" x14ac:dyDescent="0.3">
      <c r="A12" s="15"/>
      <c r="B12" s="40">
        <v>8</v>
      </c>
      <c r="C12" s="7">
        <v>45550</v>
      </c>
      <c r="D12" s="3" t="s">
        <v>92</v>
      </c>
      <c r="E12" s="5">
        <v>19643</v>
      </c>
      <c r="F12" s="55"/>
      <c r="G12" s="46"/>
      <c r="H12" s="44"/>
      <c r="I12" s="47" t="str">
        <f>IF(ISBLANK(G12),"",CONCATENATE("(",G12-$H$1+1," days)"))</f>
        <v/>
      </c>
      <c r="J12" s="40">
        <v>8</v>
      </c>
      <c r="K12" s="2"/>
      <c r="L12" s="3"/>
      <c r="M12" s="5"/>
      <c r="N12" s="22"/>
    </row>
    <row r="13" spans="1:14" x14ac:dyDescent="0.3">
      <c r="A13" s="15"/>
      <c r="B13" s="40">
        <v>9</v>
      </c>
      <c r="C13" s="7"/>
      <c r="D13" s="3" t="s">
        <v>94</v>
      </c>
      <c r="E13" s="5"/>
      <c r="F13" s="55"/>
      <c r="G13" s="46"/>
      <c r="H13" s="44"/>
      <c r="I13" s="47" t="str">
        <f>IF(ISBLANK(G13),"",CONCATENATE("(",G13-$H$1+1," days)"))</f>
        <v/>
      </c>
      <c r="J13" s="40">
        <v>9</v>
      </c>
      <c r="K13" s="2"/>
      <c r="L13" s="3"/>
      <c r="M13" s="5"/>
      <c r="N13" s="22"/>
    </row>
    <row r="14" spans="1:14" ht="15" thickBot="1" x14ac:dyDescent="0.35">
      <c r="A14" s="15"/>
      <c r="B14" s="40">
        <v>10</v>
      </c>
      <c r="C14" s="7"/>
      <c r="D14" s="60"/>
      <c r="E14" s="5"/>
      <c r="F14" s="67"/>
      <c r="G14" s="173" t="s">
        <v>90</v>
      </c>
      <c r="H14" s="174"/>
      <c r="I14" s="175"/>
      <c r="J14" s="21">
        <v>10</v>
      </c>
      <c r="K14" s="2"/>
      <c r="L14" s="3"/>
      <c r="M14" s="5"/>
      <c r="N14" s="22"/>
    </row>
    <row r="15" spans="1:14" ht="15" thickBot="1" x14ac:dyDescent="0.35">
      <c r="A15" s="15"/>
      <c r="B15" s="40">
        <v>11</v>
      </c>
      <c r="C15" s="7"/>
      <c r="D15" s="60"/>
      <c r="E15" s="5"/>
      <c r="F15" s="22"/>
      <c r="G15" s="16" t="s">
        <v>25</v>
      </c>
      <c r="H15" s="176">
        <v>45477</v>
      </c>
      <c r="I15" s="177"/>
      <c r="J15" s="21">
        <v>11</v>
      </c>
      <c r="K15" s="2"/>
      <c r="L15" s="3"/>
      <c r="M15" s="5"/>
      <c r="N15" s="22"/>
    </row>
    <row r="16" spans="1:14" x14ac:dyDescent="0.3">
      <c r="A16" s="15"/>
      <c r="B16" s="40">
        <v>12</v>
      </c>
      <c r="C16" s="7"/>
      <c r="D16" s="60"/>
      <c r="E16" s="5"/>
      <c r="F16" s="22"/>
      <c r="G16" s="31" t="s">
        <v>32</v>
      </c>
      <c r="H16" s="53" t="s">
        <v>256</v>
      </c>
      <c r="I16" s="54"/>
      <c r="J16" s="21">
        <v>12</v>
      </c>
      <c r="K16" s="2"/>
      <c r="L16" s="3"/>
      <c r="M16" s="5"/>
      <c r="N16" s="22"/>
    </row>
    <row r="17" spans="1:14" x14ac:dyDescent="0.3">
      <c r="A17" s="15"/>
      <c r="B17" s="40">
        <v>13</v>
      </c>
      <c r="C17" s="7"/>
      <c r="D17" s="60"/>
      <c r="E17" s="5"/>
      <c r="F17" s="22"/>
      <c r="G17" s="180" t="s">
        <v>33</v>
      </c>
      <c r="H17" s="181"/>
      <c r="I17" s="182"/>
      <c r="J17" s="21">
        <v>13</v>
      </c>
      <c r="K17" s="2"/>
      <c r="L17" s="3"/>
      <c r="M17" s="5"/>
      <c r="N17" s="22"/>
    </row>
    <row r="18" spans="1:14" x14ac:dyDescent="0.3">
      <c r="A18" s="15"/>
      <c r="B18" s="40">
        <v>14</v>
      </c>
      <c r="C18" s="7"/>
      <c r="D18" s="60"/>
      <c r="E18" s="5"/>
      <c r="F18" s="22"/>
      <c r="G18" s="21" t="s">
        <v>3</v>
      </c>
      <c r="H18" s="51" t="s">
        <v>26</v>
      </c>
      <c r="I18" s="52"/>
      <c r="J18" s="21">
        <v>14</v>
      </c>
      <c r="K18" s="2"/>
      <c r="L18" s="3"/>
      <c r="M18" s="5"/>
      <c r="N18" s="22"/>
    </row>
    <row r="19" spans="1:14" x14ac:dyDescent="0.3">
      <c r="A19" s="15"/>
      <c r="B19" s="40">
        <v>15</v>
      </c>
      <c r="C19" s="7"/>
      <c r="D19" s="60"/>
      <c r="E19" s="5"/>
      <c r="F19" s="22"/>
      <c r="G19" s="43">
        <v>45527</v>
      </c>
      <c r="H19" s="44">
        <v>106</v>
      </c>
      <c r="I19" s="47" t="str">
        <f>IF(ISBLANK(G19),"",CONCATENATE(G19-$H$15+1," days"))</f>
        <v>51 days</v>
      </c>
      <c r="J19" s="21">
        <v>15</v>
      </c>
      <c r="K19" s="2"/>
      <c r="L19" s="3"/>
      <c r="M19" s="5"/>
      <c r="N19" s="22"/>
    </row>
    <row r="20" spans="1:14" x14ac:dyDescent="0.3">
      <c r="A20" s="15"/>
      <c r="B20" s="40">
        <v>16</v>
      </c>
      <c r="C20" s="4"/>
      <c r="D20" s="60"/>
      <c r="E20" s="5"/>
      <c r="F20" s="22"/>
      <c r="G20" s="43">
        <v>45534</v>
      </c>
      <c r="H20" s="44">
        <v>96</v>
      </c>
      <c r="I20" s="47" t="str">
        <f t="shared" ref="I20:I22" si="1">IF(ISBLANK(G20),"",CONCATENATE(G20-$H$15+1," days"))</f>
        <v>58 days</v>
      </c>
      <c r="J20" s="21">
        <v>16</v>
      </c>
      <c r="K20" s="2"/>
      <c r="L20" s="3"/>
      <c r="M20" s="5"/>
      <c r="N20" s="22"/>
    </row>
    <row r="21" spans="1:14" x14ac:dyDescent="0.3">
      <c r="A21" s="15"/>
      <c r="B21" s="40">
        <v>17</v>
      </c>
      <c r="C21" s="4"/>
      <c r="D21" s="60"/>
      <c r="E21" s="5"/>
      <c r="F21" s="22"/>
      <c r="G21" s="43">
        <v>45541</v>
      </c>
      <c r="H21" s="44">
        <v>91</v>
      </c>
      <c r="I21" s="47" t="str">
        <f t="shared" si="1"/>
        <v>65 days</v>
      </c>
      <c r="J21" s="21">
        <v>17</v>
      </c>
      <c r="K21" s="2"/>
      <c r="L21" s="3"/>
      <c r="M21" s="5"/>
      <c r="N21" s="22"/>
    </row>
    <row r="22" spans="1:14" x14ac:dyDescent="0.3">
      <c r="A22" s="15"/>
      <c r="B22" s="40">
        <v>18</v>
      </c>
      <c r="C22" s="4"/>
      <c r="D22" s="60"/>
      <c r="E22" s="5"/>
      <c r="F22" s="22"/>
      <c r="G22" s="46">
        <v>45543</v>
      </c>
      <c r="H22" s="44">
        <v>92</v>
      </c>
      <c r="I22" s="47" t="str">
        <f t="shared" si="1"/>
        <v>67 days</v>
      </c>
      <c r="J22" s="21">
        <v>18</v>
      </c>
      <c r="K22" s="2"/>
      <c r="L22" s="3"/>
      <c r="M22" s="5"/>
      <c r="N22" s="22"/>
    </row>
    <row r="23" spans="1:14" x14ac:dyDescent="0.3">
      <c r="A23" s="15"/>
      <c r="B23" s="40">
        <v>19</v>
      </c>
      <c r="C23" s="4"/>
      <c r="D23" s="60"/>
      <c r="E23" s="5"/>
      <c r="F23" s="22"/>
      <c r="G23" s="34"/>
      <c r="H23" s="44"/>
      <c r="I23" s="47"/>
      <c r="J23" s="21">
        <v>19</v>
      </c>
      <c r="K23" s="15"/>
      <c r="L23" s="15"/>
      <c r="M23" s="15"/>
      <c r="N23" s="33"/>
    </row>
    <row r="24" spans="1:14" x14ac:dyDescent="0.3">
      <c r="A24" s="15"/>
      <c r="B24" s="40">
        <v>20</v>
      </c>
      <c r="C24" s="4"/>
      <c r="D24" s="60"/>
      <c r="E24" s="5"/>
      <c r="F24" s="22"/>
      <c r="G24" s="34"/>
      <c r="H24" s="44"/>
      <c r="I24" s="47"/>
      <c r="J24" s="21">
        <v>20</v>
      </c>
      <c r="K24" s="15"/>
      <c r="L24" s="15"/>
      <c r="M24" s="15"/>
      <c r="N24" s="33"/>
    </row>
    <row r="25" spans="1:14" x14ac:dyDescent="0.3">
      <c r="A25" s="15"/>
      <c r="B25" s="40">
        <v>21</v>
      </c>
      <c r="C25" s="4"/>
      <c r="D25" s="60"/>
      <c r="E25" s="5"/>
      <c r="F25" s="22"/>
      <c r="G25" s="34"/>
      <c r="H25" s="44"/>
      <c r="I25" s="47"/>
      <c r="J25" s="21">
        <v>21</v>
      </c>
      <c r="K25" s="15"/>
      <c r="L25" s="15"/>
      <c r="M25" s="15"/>
      <c r="N25" s="33"/>
    </row>
    <row r="26" spans="1:14" x14ac:dyDescent="0.3">
      <c r="A26" s="15"/>
      <c r="B26" s="40">
        <v>22</v>
      </c>
      <c r="C26" s="4"/>
      <c r="D26" s="60"/>
      <c r="E26" s="5"/>
      <c r="F26" s="22"/>
      <c r="G26" s="34"/>
      <c r="H26" s="44"/>
      <c r="I26" s="47"/>
      <c r="J26" s="21">
        <v>22</v>
      </c>
      <c r="K26" s="15"/>
      <c r="L26" s="15"/>
      <c r="M26" s="15"/>
      <c r="N26" s="33"/>
    </row>
    <row r="27" spans="1:14" x14ac:dyDescent="0.3">
      <c r="A27" s="15"/>
      <c r="B27" s="40">
        <v>23</v>
      </c>
      <c r="C27" s="4"/>
      <c r="D27" s="60"/>
      <c r="E27" s="5"/>
      <c r="F27" s="22"/>
      <c r="G27" s="34"/>
      <c r="H27" s="44"/>
      <c r="I27" s="47"/>
      <c r="J27" s="21">
        <v>23</v>
      </c>
      <c r="K27" s="15"/>
      <c r="L27" s="15"/>
      <c r="M27" s="15"/>
      <c r="N27" s="33"/>
    </row>
    <row r="28" spans="1:14" x14ac:dyDescent="0.3">
      <c r="A28" s="15"/>
      <c r="B28" s="40">
        <v>24</v>
      </c>
      <c r="C28" s="4"/>
      <c r="D28" s="94"/>
      <c r="E28" s="5"/>
      <c r="F28" s="22"/>
      <c r="G28" s="34"/>
      <c r="H28" s="44"/>
      <c r="I28" s="47"/>
      <c r="J28" s="21">
        <v>24</v>
      </c>
      <c r="K28" s="15"/>
      <c r="L28" s="15"/>
      <c r="M28" s="15"/>
      <c r="N28" s="33"/>
    </row>
    <row r="29" spans="1:14" ht="15" thickBot="1" x14ac:dyDescent="0.35">
      <c r="A29" s="68"/>
      <c r="B29" s="40">
        <v>25</v>
      </c>
      <c r="C29" s="69"/>
      <c r="D29" s="95"/>
      <c r="E29" s="71"/>
      <c r="F29" s="72"/>
      <c r="G29" s="73"/>
      <c r="H29" s="74"/>
      <c r="I29" s="75"/>
      <c r="J29" s="21">
        <v>25</v>
      </c>
      <c r="K29" s="68"/>
      <c r="L29" s="68"/>
      <c r="M29" s="68"/>
      <c r="N29" s="76"/>
    </row>
    <row r="30" spans="1:14" ht="15.6" thickTop="1" thickBot="1" x14ac:dyDescent="0.35">
      <c r="A30" s="38"/>
      <c r="B30" s="77"/>
      <c r="C30" s="27"/>
      <c r="D30" s="29"/>
      <c r="E30" s="61"/>
      <c r="F30" s="62"/>
      <c r="G30" s="35"/>
      <c r="H30" s="45"/>
      <c r="I30" s="49"/>
      <c r="J30" s="35"/>
      <c r="K30" s="38"/>
      <c r="L30" s="38"/>
      <c r="M30" s="38"/>
      <c r="N30" s="36"/>
    </row>
    <row r="31" spans="1:14" x14ac:dyDescent="0.3">
      <c r="B31" s="24"/>
      <c r="C31" s="25"/>
      <c r="E31" s="64" t="s">
        <v>65</v>
      </c>
      <c r="F31" s="84">
        <v>750000</v>
      </c>
      <c r="G31" s="90" t="s">
        <v>186</v>
      </c>
      <c r="H31" s="125">
        <v>900000</v>
      </c>
      <c r="I31" s="59" t="s">
        <v>187</v>
      </c>
      <c r="J31" s="125">
        <v>150000</v>
      </c>
      <c r="L31" s="125"/>
    </row>
    <row r="32" spans="1:14" x14ac:dyDescent="0.3">
      <c r="E32" s="59" t="s">
        <v>62</v>
      </c>
      <c r="F32" s="90" t="s">
        <v>54</v>
      </c>
      <c r="G32" s="90" t="s">
        <v>26</v>
      </c>
      <c r="H32" s="90" t="s">
        <v>95</v>
      </c>
      <c r="I32" s="90" t="s">
        <v>63</v>
      </c>
      <c r="J32" s="90" t="s">
        <v>64</v>
      </c>
      <c r="K32" s="90"/>
      <c r="L32" s="115" t="s">
        <v>158</v>
      </c>
      <c r="M32" s="115"/>
    </row>
    <row r="33" spans="1:13" x14ac:dyDescent="0.3">
      <c r="E33" s="15" t="s">
        <v>75</v>
      </c>
      <c r="F33" s="57">
        <f>H33*G33</f>
        <v>591607.80000000005</v>
      </c>
      <c r="G33" s="57">
        <v>111</v>
      </c>
      <c r="H33" s="65">
        <v>5329.8</v>
      </c>
      <c r="I33" s="60">
        <v>249</v>
      </c>
      <c r="J33" s="137">
        <f>H33*I33</f>
        <v>1327120.2</v>
      </c>
      <c r="K33" s="137"/>
      <c r="L33" s="83" t="s">
        <v>86</v>
      </c>
      <c r="M33" s="60">
        <v>600000</v>
      </c>
    </row>
    <row r="34" spans="1:13" x14ac:dyDescent="0.3">
      <c r="E34" s="15" t="s">
        <v>82</v>
      </c>
      <c r="F34" s="57">
        <f t="shared" ref="F34:F39" si="2">H34*G34</f>
        <v>6660</v>
      </c>
      <c r="G34" s="57">
        <v>111</v>
      </c>
      <c r="H34" s="65">
        <v>60</v>
      </c>
      <c r="I34" s="60">
        <v>124.5</v>
      </c>
      <c r="J34" s="137">
        <f t="shared" ref="J34:J39" si="3">H34*I34</f>
        <v>7470</v>
      </c>
      <c r="K34" s="137"/>
      <c r="L34" s="83" t="s">
        <v>87</v>
      </c>
      <c r="M34" s="60">
        <v>250000</v>
      </c>
    </row>
    <row r="35" spans="1:13" x14ac:dyDescent="0.3">
      <c r="E35" s="15" t="s">
        <v>83</v>
      </c>
      <c r="F35" s="57">
        <f t="shared" si="2"/>
        <v>98274.400000000009</v>
      </c>
      <c r="G35" s="57">
        <v>92</v>
      </c>
      <c r="H35" s="65">
        <v>1068.2</v>
      </c>
      <c r="I35" s="60">
        <v>250</v>
      </c>
      <c r="J35" s="137">
        <f t="shared" si="3"/>
        <v>267050</v>
      </c>
      <c r="K35" s="137"/>
      <c r="L35" s="83" t="s">
        <v>87</v>
      </c>
      <c r="M35" s="60">
        <v>50000</v>
      </c>
    </row>
    <row r="36" spans="1:13" x14ac:dyDescent="0.3">
      <c r="E36" s="15"/>
      <c r="F36" s="57">
        <f t="shared" si="2"/>
        <v>0</v>
      </c>
      <c r="G36" s="57"/>
      <c r="H36" s="65">
        <v>1068.2</v>
      </c>
      <c r="I36" s="60">
        <v>10</v>
      </c>
      <c r="J36" s="138">
        <f t="shared" si="3"/>
        <v>10682</v>
      </c>
      <c r="K36" s="138"/>
      <c r="L36" s="83" t="s">
        <v>69</v>
      </c>
      <c r="M36" s="60">
        <v>568000</v>
      </c>
    </row>
    <row r="37" spans="1:13" x14ac:dyDescent="0.3">
      <c r="E37" s="15"/>
      <c r="F37" s="57">
        <f t="shared" si="2"/>
        <v>0</v>
      </c>
      <c r="G37" s="57"/>
      <c r="H37" s="65"/>
      <c r="I37" s="60"/>
      <c r="J37" s="137">
        <f t="shared" si="3"/>
        <v>0</v>
      </c>
      <c r="K37" s="137"/>
      <c r="L37" s="83" t="s">
        <v>93</v>
      </c>
      <c r="M37" s="60">
        <v>133202</v>
      </c>
    </row>
    <row r="38" spans="1:13" x14ac:dyDescent="0.3">
      <c r="E38" s="15"/>
      <c r="F38" s="57">
        <f t="shared" si="2"/>
        <v>0</v>
      </c>
      <c r="G38" s="57"/>
      <c r="H38" s="65"/>
      <c r="I38" s="60"/>
      <c r="J38" s="137">
        <f t="shared" si="3"/>
        <v>0</v>
      </c>
      <c r="K38" s="137"/>
      <c r="L38" s="83" t="s">
        <v>69</v>
      </c>
      <c r="M38" s="60">
        <v>10000</v>
      </c>
    </row>
    <row r="39" spans="1:13" x14ac:dyDescent="0.3">
      <c r="E39" s="15"/>
      <c r="F39" s="57">
        <f t="shared" si="2"/>
        <v>0</v>
      </c>
      <c r="G39" s="57"/>
      <c r="H39" s="65"/>
      <c r="I39" s="60"/>
      <c r="J39" s="137">
        <f t="shared" si="3"/>
        <v>0</v>
      </c>
      <c r="K39" s="137"/>
      <c r="L39" s="83"/>
      <c r="M39" s="60"/>
    </row>
    <row r="40" spans="1:13" x14ac:dyDescent="0.3">
      <c r="E40" s="50" t="s">
        <v>61</v>
      </c>
      <c r="F40" s="58">
        <f>SUM(F33:F38)</f>
        <v>696542.20000000007</v>
      </c>
      <c r="G40" s="58"/>
      <c r="H40" s="82">
        <f>SUM(H33:H39)</f>
        <v>7526.2</v>
      </c>
      <c r="I40" s="50"/>
      <c r="J40" s="138">
        <f>SUM(J33:J39)</f>
        <v>1612322.2</v>
      </c>
      <c r="K40" s="138"/>
      <c r="L40" s="83"/>
      <c r="M40" s="60"/>
    </row>
    <row r="41" spans="1:13" x14ac:dyDescent="0.3">
      <c r="E41" s="50" t="s">
        <v>126</v>
      </c>
      <c r="F41" s="105" t="str">
        <f>CONCATENATE(ROUND((F40/F31)*100,2),"%")</f>
        <v>92.87%</v>
      </c>
      <c r="G41" s="15"/>
      <c r="H41" s="56"/>
      <c r="I41" s="15"/>
      <c r="J41" s="83"/>
      <c r="K41" s="83"/>
      <c r="L41" s="50" t="s">
        <v>88</v>
      </c>
      <c r="M41" s="5">
        <f>SUM(M33:M40)</f>
        <v>1611202</v>
      </c>
    </row>
    <row r="42" spans="1:13" ht="15" thickBot="1" x14ac:dyDescent="0.35">
      <c r="A42" s="78"/>
      <c r="B42" s="79"/>
      <c r="C42" s="79"/>
      <c r="D42" s="78"/>
      <c r="E42" s="78"/>
      <c r="F42" s="78"/>
      <c r="G42" s="78"/>
      <c r="H42" s="78"/>
      <c r="I42" s="78"/>
      <c r="J42" s="78"/>
      <c r="K42" s="81" t="s">
        <v>89</v>
      </c>
      <c r="L42" s="80">
        <f>J40-M41</f>
        <v>1120.1999999999534</v>
      </c>
    </row>
    <row r="43" spans="1:13" x14ac:dyDescent="0.3">
      <c r="A43" s="200" t="s">
        <v>77</v>
      </c>
      <c r="B43" s="200"/>
      <c r="C43" s="200"/>
      <c r="F43" s="200" t="s">
        <v>78</v>
      </c>
      <c r="G43" s="200"/>
      <c r="H43" s="200"/>
      <c r="K43" s="14"/>
    </row>
    <row r="44" spans="1:13" x14ac:dyDescent="0.3">
      <c r="D44" s="39"/>
    </row>
    <row r="45" spans="1:13" x14ac:dyDescent="0.3">
      <c r="K45" s="14"/>
    </row>
    <row r="47" spans="1:13" x14ac:dyDescent="0.3">
      <c r="K47" s="26"/>
    </row>
    <row r="48" spans="1:13" x14ac:dyDescent="0.3">
      <c r="H48" s="26"/>
    </row>
    <row r="49" spans="7:11" x14ac:dyDescent="0.3">
      <c r="K49" s="39"/>
    </row>
    <row r="54" spans="7:11" x14ac:dyDescent="0.3">
      <c r="G54" s="39"/>
    </row>
    <row r="55" spans="7:11" x14ac:dyDescent="0.3">
      <c r="G55" s="39"/>
    </row>
    <row r="56" spans="7:11" x14ac:dyDescent="0.3">
      <c r="G56" s="14"/>
    </row>
    <row r="66" spans="6:6" x14ac:dyDescent="0.3">
      <c r="F66" s="39"/>
    </row>
  </sheetData>
  <mergeCells count="14">
    <mergeCell ref="A43:C43"/>
    <mergeCell ref="F43:H43"/>
    <mergeCell ref="B1:F1"/>
    <mergeCell ref="H1:I1"/>
    <mergeCell ref="K1:L1"/>
    <mergeCell ref="B2:C2"/>
    <mergeCell ref="H2:I2"/>
    <mergeCell ref="B3:F3"/>
    <mergeCell ref="G3:I3"/>
    <mergeCell ref="J3:N3"/>
    <mergeCell ref="H4:I4"/>
    <mergeCell ref="G14:I14"/>
    <mergeCell ref="H15:I15"/>
    <mergeCell ref="G17:I17"/>
  </mergeCells>
  <conditionalFormatting sqref="K1:L1">
    <cfRule type="cellIs" dxfId="56" priority="1" operator="greaterThan">
      <formula>0</formula>
    </cfRule>
    <cfRule type="cellIs" dxfId="55" priority="2" operator="lessThan">
      <formula>0</formula>
    </cfRule>
  </conditionalFormatting>
  <conditionalFormatting sqref="L5:L22">
    <cfRule type="duplicateValues" dxfId="54" priority="3"/>
  </conditionalFormatting>
  <conditionalFormatting sqref="M5:M22">
    <cfRule type="duplicateValues" dxfId="53" priority="4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D928-09B3-4391-9F42-ECF74587CA6D}">
  <dimension ref="A1:N66"/>
  <sheetViews>
    <sheetView zoomScaleNormal="100" workbookViewId="0">
      <pane ySplit="1" topLeftCell="A2" activePane="bottomLeft" state="frozen"/>
      <selection pane="bottomLeft" activeCell="F38" sqref="F38"/>
    </sheetView>
  </sheetViews>
  <sheetFormatPr defaultRowHeight="14.4" x14ac:dyDescent="0.3"/>
  <cols>
    <col min="1" max="1" width="2.5546875" style="1" customWidth="1"/>
    <col min="2" max="2" width="8.88671875" style="6"/>
    <col min="3" max="3" width="10.77734375" style="6" bestFit="1" customWidth="1"/>
    <col min="4" max="4" width="20" style="1" bestFit="1" customWidth="1"/>
    <col min="5" max="5" width="13.77734375" style="1" bestFit="1" customWidth="1"/>
    <col min="6" max="6" width="24.77734375" style="1" customWidth="1"/>
    <col min="7" max="7" width="10.33203125" style="1" bestFit="1" customWidth="1"/>
    <col min="8" max="8" width="12.88671875" style="1" bestFit="1" customWidth="1"/>
    <col min="9" max="9" width="12.109375" style="1" customWidth="1"/>
    <col min="10" max="10" width="10.5546875" style="1" bestFit="1" customWidth="1"/>
    <col min="11" max="11" width="10.33203125" style="1" bestFit="1" customWidth="1"/>
    <col min="12" max="12" width="41.5546875" style="1" bestFit="1" customWidth="1"/>
    <col min="13" max="13" width="15.88671875" style="1" customWidth="1"/>
    <col min="14" max="14" width="22.5546875" style="1" customWidth="1"/>
    <col min="15" max="16384" width="8.88671875" style="1"/>
  </cols>
  <sheetData>
    <row r="1" spans="1:14" ht="16.2" thickBot="1" x14ac:dyDescent="0.35">
      <c r="A1" s="42"/>
      <c r="B1" s="186" t="s">
        <v>182</v>
      </c>
      <c r="C1" s="187"/>
      <c r="D1" s="187"/>
      <c r="E1" s="187"/>
      <c r="F1" s="188"/>
      <c r="G1" s="16" t="s">
        <v>25</v>
      </c>
      <c r="H1" s="176">
        <v>45548</v>
      </c>
      <c r="I1" s="177"/>
      <c r="J1" s="17" t="s">
        <v>15</v>
      </c>
      <c r="K1" s="189">
        <f>M2-E2</f>
        <v>1002304</v>
      </c>
      <c r="L1" s="190"/>
      <c r="M1" s="18"/>
      <c r="N1" s="19"/>
    </row>
    <row r="2" spans="1:14" ht="15.6" x14ac:dyDescent="0.3">
      <c r="A2" s="41"/>
      <c r="B2" s="191"/>
      <c r="C2" s="192"/>
      <c r="D2" s="13" t="s">
        <v>14</v>
      </c>
      <c r="E2" s="12">
        <f>SUM(E5:E30)</f>
        <v>1412799</v>
      </c>
      <c r="F2" s="20"/>
      <c r="G2" s="31" t="s">
        <v>32</v>
      </c>
      <c r="H2" s="178" t="s">
        <v>203</v>
      </c>
      <c r="I2" s="193"/>
      <c r="J2" s="37"/>
      <c r="K2" s="10"/>
      <c r="L2" s="11" t="s">
        <v>14</v>
      </c>
      <c r="M2" s="12">
        <f>SUM(M5:M22)</f>
        <v>2415103</v>
      </c>
      <c r="N2" s="20"/>
    </row>
    <row r="3" spans="1:14" x14ac:dyDescent="0.3">
      <c r="B3" s="194" t="s">
        <v>36</v>
      </c>
      <c r="C3" s="195"/>
      <c r="D3" s="196"/>
      <c r="E3" s="196"/>
      <c r="F3" s="197"/>
      <c r="G3" s="180" t="s">
        <v>33</v>
      </c>
      <c r="H3" s="181"/>
      <c r="I3" s="181"/>
      <c r="J3" s="194" t="s">
        <v>37</v>
      </c>
      <c r="K3" s="195"/>
      <c r="L3" s="196"/>
      <c r="M3" s="196"/>
      <c r="N3" s="197"/>
    </row>
    <row r="4" spans="1:14" x14ac:dyDescent="0.3">
      <c r="A4" s="3"/>
      <c r="B4" s="40" t="s">
        <v>0</v>
      </c>
      <c r="C4" s="2" t="s">
        <v>3</v>
      </c>
      <c r="D4" s="3" t="s">
        <v>1</v>
      </c>
      <c r="E4" s="3" t="s">
        <v>13</v>
      </c>
      <c r="F4" s="22" t="s">
        <v>2</v>
      </c>
      <c r="G4" s="21" t="s">
        <v>3</v>
      </c>
      <c r="H4" s="99" t="s">
        <v>26</v>
      </c>
      <c r="I4" s="99" t="s">
        <v>32</v>
      </c>
      <c r="J4" s="40" t="s">
        <v>0</v>
      </c>
      <c r="K4" s="2" t="s">
        <v>3</v>
      </c>
      <c r="L4" s="3" t="s">
        <v>1</v>
      </c>
      <c r="M4" s="3" t="s">
        <v>13</v>
      </c>
      <c r="N4" s="22" t="s">
        <v>2</v>
      </c>
    </row>
    <row r="5" spans="1:14" x14ac:dyDescent="0.3">
      <c r="A5" s="15"/>
      <c r="B5" s="40">
        <v>1</v>
      </c>
      <c r="C5" s="7">
        <v>45548</v>
      </c>
      <c r="D5" s="26" t="s">
        <v>19</v>
      </c>
      <c r="E5" s="9">
        <v>210000</v>
      </c>
      <c r="F5" s="23" t="s">
        <v>91</v>
      </c>
      <c r="G5" s="43">
        <v>45599</v>
      </c>
      <c r="H5" s="44">
        <v>96</v>
      </c>
      <c r="I5" s="47" t="str">
        <f>IF(ISBLANK(G5),"",CONCATENATE(G5-$H$1+1," days"))</f>
        <v>52 days</v>
      </c>
      <c r="J5" s="21">
        <v>1</v>
      </c>
      <c r="K5" s="4">
        <v>45609</v>
      </c>
      <c r="L5" s="3" t="s">
        <v>109</v>
      </c>
      <c r="M5" s="5">
        <v>558927</v>
      </c>
      <c r="N5" s="22"/>
    </row>
    <row r="6" spans="1:14" x14ac:dyDescent="0.3">
      <c r="A6" s="15"/>
      <c r="B6" s="40">
        <v>2</v>
      </c>
      <c r="C6" s="7">
        <v>45548</v>
      </c>
      <c r="D6" s="8" t="s">
        <v>74</v>
      </c>
      <c r="E6" s="9">
        <v>30000</v>
      </c>
      <c r="F6" s="23"/>
      <c r="G6" s="43">
        <v>45602</v>
      </c>
      <c r="H6" s="44">
        <v>91</v>
      </c>
      <c r="I6" s="47" t="str">
        <f t="shared" ref="I6:I13" si="0">IF(ISBLANK(G6),"",CONCATENATE(G6-$H$1+1," days"))</f>
        <v>55 days</v>
      </c>
      <c r="J6" s="21">
        <v>2</v>
      </c>
      <c r="K6" s="4">
        <v>45620</v>
      </c>
      <c r="L6" s="3" t="s">
        <v>119</v>
      </c>
      <c r="M6" s="5">
        <v>1478368</v>
      </c>
      <c r="N6" s="22"/>
    </row>
    <row r="7" spans="1:14" x14ac:dyDescent="0.3">
      <c r="A7" s="15"/>
      <c r="B7" s="40">
        <v>3</v>
      </c>
      <c r="C7" s="7">
        <v>45561</v>
      </c>
      <c r="D7" s="8" t="s">
        <v>104</v>
      </c>
      <c r="E7" s="9">
        <v>35000</v>
      </c>
      <c r="F7" s="23" t="s">
        <v>91</v>
      </c>
      <c r="G7" s="98">
        <v>45606</v>
      </c>
      <c r="H7" s="44">
        <v>84</v>
      </c>
      <c r="I7" s="47" t="str">
        <f t="shared" si="0"/>
        <v>59 days</v>
      </c>
      <c r="J7" s="21">
        <v>3</v>
      </c>
      <c r="K7" s="4">
        <v>45633</v>
      </c>
      <c r="L7" s="3" t="s">
        <v>128</v>
      </c>
      <c r="M7" s="5">
        <v>377808</v>
      </c>
      <c r="N7" s="22"/>
    </row>
    <row r="8" spans="1:14" x14ac:dyDescent="0.3">
      <c r="A8" s="15"/>
      <c r="B8" s="40">
        <v>4</v>
      </c>
      <c r="C8" s="7">
        <v>45561</v>
      </c>
      <c r="D8" s="8" t="s">
        <v>106</v>
      </c>
      <c r="E8" s="9">
        <v>3500</v>
      </c>
      <c r="F8" s="22"/>
      <c r="G8" s="43">
        <v>45608</v>
      </c>
      <c r="H8" s="44">
        <v>81</v>
      </c>
      <c r="I8" s="47" t="str">
        <f t="shared" si="0"/>
        <v>61 days</v>
      </c>
      <c r="J8" s="21">
        <v>4</v>
      </c>
      <c r="K8" s="4"/>
      <c r="L8" s="3"/>
      <c r="M8" s="5"/>
      <c r="N8" s="22"/>
    </row>
    <row r="9" spans="1:14" x14ac:dyDescent="0.3">
      <c r="A9" s="15"/>
      <c r="B9" s="40">
        <v>5</v>
      </c>
      <c r="C9" s="7">
        <v>45520</v>
      </c>
      <c r="D9" s="3" t="s">
        <v>29</v>
      </c>
      <c r="E9" s="5">
        <v>22303</v>
      </c>
      <c r="F9" s="22"/>
      <c r="G9" s="46">
        <v>45609</v>
      </c>
      <c r="H9" s="44">
        <v>79</v>
      </c>
      <c r="I9" s="47" t="str">
        <f t="shared" si="0"/>
        <v>62 days</v>
      </c>
      <c r="J9" s="21">
        <v>5</v>
      </c>
      <c r="K9" s="4"/>
      <c r="L9" s="3"/>
      <c r="M9" s="5"/>
      <c r="N9" s="22"/>
    </row>
    <row r="10" spans="1:14" x14ac:dyDescent="0.3">
      <c r="A10" s="15"/>
      <c r="B10" s="40">
        <v>6</v>
      </c>
      <c r="C10" s="7">
        <v>45551</v>
      </c>
      <c r="D10" s="3" t="s">
        <v>29</v>
      </c>
      <c r="E10" s="5">
        <v>17625</v>
      </c>
      <c r="F10" s="22"/>
      <c r="G10" s="46">
        <v>45614</v>
      </c>
      <c r="H10" s="44">
        <v>65</v>
      </c>
      <c r="I10" s="47" t="str">
        <f t="shared" si="0"/>
        <v>67 days</v>
      </c>
      <c r="J10" s="21">
        <v>6</v>
      </c>
      <c r="K10" s="2"/>
      <c r="L10" s="3"/>
      <c r="M10" s="5"/>
      <c r="N10" s="22"/>
    </row>
    <row r="11" spans="1:14" x14ac:dyDescent="0.3">
      <c r="A11" s="15"/>
      <c r="B11" s="40">
        <v>7</v>
      </c>
      <c r="C11" s="7">
        <v>45599</v>
      </c>
      <c r="D11" s="3" t="s">
        <v>107</v>
      </c>
      <c r="E11" s="5">
        <v>1200</v>
      </c>
      <c r="F11" s="22"/>
      <c r="G11" s="46">
        <v>45619</v>
      </c>
      <c r="H11" s="44">
        <v>70</v>
      </c>
      <c r="I11" s="47" t="str">
        <f t="shared" si="0"/>
        <v>72 days</v>
      </c>
      <c r="J11" s="21">
        <v>7</v>
      </c>
      <c r="K11" s="2"/>
      <c r="L11" s="3"/>
      <c r="M11" s="5"/>
      <c r="N11" s="22"/>
    </row>
    <row r="12" spans="1:14" x14ac:dyDescent="0.3">
      <c r="A12" s="15"/>
      <c r="B12" s="40">
        <v>8</v>
      </c>
      <c r="C12" s="7">
        <v>45609</v>
      </c>
      <c r="D12" s="3" t="s">
        <v>142</v>
      </c>
      <c r="E12" s="5">
        <v>5600</v>
      </c>
      <c r="F12" s="55"/>
      <c r="G12" s="46">
        <v>45620</v>
      </c>
      <c r="H12" s="44">
        <v>65</v>
      </c>
      <c r="I12" s="47" t="str">
        <f t="shared" si="0"/>
        <v>73 days</v>
      </c>
      <c r="J12" s="40">
        <v>8</v>
      </c>
      <c r="K12" s="2"/>
      <c r="L12" s="3"/>
      <c r="M12" s="5"/>
      <c r="N12" s="22"/>
    </row>
    <row r="13" spans="1:14" x14ac:dyDescent="0.3">
      <c r="A13" s="15"/>
      <c r="B13" s="40">
        <v>9</v>
      </c>
      <c r="C13" s="7">
        <v>45620</v>
      </c>
      <c r="D13" s="3" t="s">
        <v>114</v>
      </c>
      <c r="E13" s="5">
        <v>893146</v>
      </c>
      <c r="F13" s="55"/>
      <c r="G13" s="46"/>
      <c r="H13" s="44"/>
      <c r="I13" s="47" t="str">
        <f t="shared" si="0"/>
        <v/>
      </c>
      <c r="J13" s="40">
        <v>9</v>
      </c>
      <c r="K13" s="2"/>
      <c r="L13" s="3"/>
      <c r="M13" s="5"/>
      <c r="N13" s="22"/>
    </row>
    <row r="14" spans="1:14" ht="15" thickBot="1" x14ac:dyDescent="0.35">
      <c r="A14" s="15"/>
      <c r="B14" s="40">
        <v>10</v>
      </c>
      <c r="C14" s="7">
        <v>45620</v>
      </c>
      <c r="D14" s="3" t="s">
        <v>141</v>
      </c>
      <c r="E14" s="5">
        <v>17400</v>
      </c>
      <c r="F14" s="67"/>
      <c r="G14" s="173" t="s">
        <v>57</v>
      </c>
      <c r="H14" s="174"/>
      <c r="I14" s="175"/>
      <c r="J14" s="21">
        <v>10</v>
      </c>
      <c r="K14" s="2"/>
      <c r="L14" s="3"/>
      <c r="M14" s="5"/>
      <c r="N14" s="22"/>
    </row>
    <row r="15" spans="1:14" ht="15" thickBot="1" x14ac:dyDescent="0.35">
      <c r="A15" s="15"/>
      <c r="B15" s="40">
        <v>11</v>
      </c>
      <c r="C15" s="7">
        <v>45581</v>
      </c>
      <c r="D15" s="3" t="s">
        <v>29</v>
      </c>
      <c r="E15" s="5">
        <v>22755</v>
      </c>
      <c r="F15" s="22"/>
      <c r="G15" s="16" t="s">
        <v>25</v>
      </c>
      <c r="H15" s="176">
        <v>45561</v>
      </c>
      <c r="I15" s="177"/>
      <c r="J15" s="21">
        <v>11</v>
      </c>
      <c r="K15" s="2"/>
      <c r="L15" s="3"/>
      <c r="M15" s="5"/>
      <c r="N15" s="22"/>
    </row>
    <row r="16" spans="1:14" x14ac:dyDescent="0.3">
      <c r="A16" s="15"/>
      <c r="B16" s="40">
        <v>12</v>
      </c>
      <c r="C16" s="7">
        <v>45634</v>
      </c>
      <c r="D16" s="3" t="s">
        <v>139</v>
      </c>
      <c r="E16" s="5">
        <v>27000</v>
      </c>
      <c r="F16" s="22"/>
      <c r="G16" s="31" t="s">
        <v>32</v>
      </c>
      <c r="H16" s="178" t="s">
        <v>203</v>
      </c>
      <c r="I16" s="179"/>
      <c r="J16" s="21">
        <v>12</v>
      </c>
      <c r="K16" s="2"/>
      <c r="L16" s="3"/>
      <c r="M16" s="5"/>
      <c r="N16" s="22"/>
    </row>
    <row r="17" spans="1:14" x14ac:dyDescent="0.3">
      <c r="A17" s="15"/>
      <c r="B17" s="40">
        <v>13</v>
      </c>
      <c r="C17" s="7">
        <v>45634</v>
      </c>
      <c r="D17" s="3" t="s">
        <v>140</v>
      </c>
      <c r="E17" s="5">
        <v>45000</v>
      </c>
      <c r="F17" s="22"/>
      <c r="G17" s="180" t="s">
        <v>33</v>
      </c>
      <c r="H17" s="181"/>
      <c r="I17" s="182"/>
      <c r="J17" s="21">
        <v>13</v>
      </c>
      <c r="K17" s="2"/>
      <c r="L17" s="3"/>
      <c r="M17" s="5"/>
      <c r="N17" s="22"/>
    </row>
    <row r="18" spans="1:14" x14ac:dyDescent="0.3">
      <c r="A18" s="15"/>
      <c r="B18" s="40">
        <v>14</v>
      </c>
      <c r="C18" s="7">
        <v>45644</v>
      </c>
      <c r="D18" s="3" t="s">
        <v>49</v>
      </c>
      <c r="E18" s="5">
        <v>82270</v>
      </c>
      <c r="F18" s="22"/>
      <c r="G18" s="21" t="s">
        <v>3</v>
      </c>
      <c r="H18" s="2" t="s">
        <v>26</v>
      </c>
      <c r="I18" s="2" t="s">
        <v>32</v>
      </c>
      <c r="J18" s="40">
        <v>14</v>
      </c>
      <c r="K18" s="2"/>
      <c r="L18" s="3"/>
      <c r="M18" s="5"/>
      <c r="N18" s="22"/>
    </row>
    <row r="19" spans="1:14" x14ac:dyDescent="0.3">
      <c r="A19" s="15"/>
      <c r="B19" s="40">
        <v>15</v>
      </c>
      <c r="C19" s="7"/>
      <c r="D19" s="3"/>
      <c r="E19" s="5"/>
      <c r="F19" s="22" t="s">
        <v>138</v>
      </c>
      <c r="G19" s="43">
        <v>45602</v>
      </c>
      <c r="H19" s="44">
        <v>130</v>
      </c>
      <c r="I19" s="47" t="str">
        <f>IF(ISBLANK(G19),"",CONCATENATE(G19-$H$15+1," days"))</f>
        <v>42 days</v>
      </c>
      <c r="J19" s="21">
        <v>15</v>
      </c>
      <c r="K19" s="2"/>
      <c r="L19" s="3"/>
      <c r="M19" s="5"/>
      <c r="N19" s="22"/>
    </row>
    <row r="20" spans="1:14" x14ac:dyDescent="0.3">
      <c r="A20" s="15"/>
      <c r="B20" s="40">
        <v>16</v>
      </c>
      <c r="C20" s="4"/>
      <c r="D20" s="3"/>
      <c r="E20" s="5"/>
      <c r="F20" s="22"/>
      <c r="G20" s="43">
        <v>45608</v>
      </c>
      <c r="H20" s="44">
        <v>99</v>
      </c>
      <c r="I20" s="47" t="str">
        <f t="shared" ref="I20:I26" si="1">IF(ISBLANK(G20),"",CONCATENATE(G20-$H$15+1," days"))</f>
        <v>48 days</v>
      </c>
      <c r="J20" s="21">
        <v>16</v>
      </c>
      <c r="K20" s="2"/>
      <c r="L20" s="3"/>
      <c r="M20" s="5"/>
      <c r="N20" s="22"/>
    </row>
    <row r="21" spans="1:14" x14ac:dyDescent="0.3">
      <c r="A21" s="15"/>
      <c r="B21" s="40">
        <v>17</v>
      </c>
      <c r="C21" s="4"/>
      <c r="D21" s="3"/>
      <c r="E21" s="5"/>
      <c r="F21" s="22"/>
      <c r="G21" s="43">
        <v>45614</v>
      </c>
      <c r="H21" s="44">
        <v>80</v>
      </c>
      <c r="I21" s="47" t="str">
        <f t="shared" si="1"/>
        <v>54 days</v>
      </c>
      <c r="J21" s="21">
        <v>17</v>
      </c>
      <c r="K21" s="2"/>
      <c r="L21" s="3"/>
      <c r="M21" s="5"/>
      <c r="N21" s="22"/>
    </row>
    <row r="22" spans="1:14" x14ac:dyDescent="0.3">
      <c r="A22" s="15"/>
      <c r="B22" s="40">
        <v>18</v>
      </c>
      <c r="C22" s="4"/>
      <c r="D22" s="3"/>
      <c r="E22" s="5"/>
      <c r="F22" s="22"/>
      <c r="G22" s="46">
        <v>45619</v>
      </c>
      <c r="H22" s="44">
        <v>71</v>
      </c>
      <c r="I22" s="47" t="str">
        <f t="shared" si="1"/>
        <v>59 days</v>
      </c>
      <c r="J22" s="21">
        <v>18</v>
      </c>
      <c r="K22" s="2"/>
      <c r="L22" s="3"/>
      <c r="M22" s="5"/>
      <c r="N22" s="22"/>
    </row>
    <row r="23" spans="1:14" x14ac:dyDescent="0.3">
      <c r="A23" s="15"/>
      <c r="B23" s="40">
        <v>19</v>
      </c>
      <c r="C23" s="4"/>
      <c r="D23" s="3"/>
      <c r="E23" s="5"/>
      <c r="F23" s="22"/>
      <c r="G23" s="46">
        <v>45624</v>
      </c>
      <c r="H23" s="44">
        <v>61</v>
      </c>
      <c r="I23" s="47" t="str">
        <f t="shared" si="1"/>
        <v>64 days</v>
      </c>
      <c r="J23" s="21">
        <v>19</v>
      </c>
      <c r="K23" s="15"/>
      <c r="L23" s="15"/>
      <c r="M23" s="15"/>
      <c r="N23" s="33"/>
    </row>
    <row r="24" spans="1:14" x14ac:dyDescent="0.3">
      <c r="A24" s="15"/>
      <c r="B24" s="40">
        <v>20</v>
      </c>
      <c r="C24" s="4"/>
      <c r="D24" s="3"/>
      <c r="E24" s="5"/>
      <c r="F24" s="22"/>
      <c r="G24" s="46">
        <v>45631</v>
      </c>
      <c r="H24" s="44">
        <v>60</v>
      </c>
      <c r="I24" s="47" t="str">
        <f>IF(ISBLANK(G24),"",CONCATENATE(G24-$H$15+1," days"))</f>
        <v>71 days</v>
      </c>
      <c r="J24" s="21">
        <v>20</v>
      </c>
      <c r="K24" s="15"/>
      <c r="L24" s="15"/>
      <c r="M24" s="15"/>
      <c r="N24" s="33"/>
    </row>
    <row r="25" spans="1:14" x14ac:dyDescent="0.3">
      <c r="A25" s="15"/>
      <c r="B25" s="40">
        <v>21</v>
      </c>
      <c r="C25" s="4"/>
      <c r="D25" s="3"/>
      <c r="E25" s="5"/>
      <c r="F25" s="22"/>
      <c r="G25" s="46">
        <v>45633</v>
      </c>
      <c r="H25" s="44">
        <v>56</v>
      </c>
      <c r="I25" s="47" t="str">
        <f t="shared" si="1"/>
        <v>73 days</v>
      </c>
      <c r="J25" s="21">
        <v>21</v>
      </c>
      <c r="K25" s="15"/>
      <c r="L25" s="15"/>
      <c r="M25" s="15"/>
      <c r="N25" s="33"/>
    </row>
    <row r="26" spans="1:14" x14ac:dyDescent="0.3">
      <c r="A26" s="15"/>
      <c r="B26" s="40">
        <v>22</v>
      </c>
      <c r="C26" s="4"/>
      <c r="D26" s="3"/>
      <c r="E26" s="5"/>
      <c r="F26" s="22"/>
      <c r="G26" s="34"/>
      <c r="H26" s="44"/>
      <c r="I26" s="47" t="str">
        <f t="shared" si="1"/>
        <v/>
      </c>
      <c r="J26" s="21">
        <v>22</v>
      </c>
      <c r="K26" s="15"/>
      <c r="L26" s="15"/>
      <c r="M26" s="15"/>
      <c r="N26" s="33"/>
    </row>
    <row r="27" spans="1:14" x14ac:dyDescent="0.3">
      <c r="A27" s="15"/>
      <c r="B27" s="40">
        <v>23</v>
      </c>
      <c r="C27" s="4"/>
      <c r="D27" s="3"/>
      <c r="E27" s="5"/>
      <c r="F27" s="22"/>
      <c r="G27" s="34"/>
      <c r="H27" s="44"/>
      <c r="I27" s="47"/>
      <c r="J27" s="21">
        <v>23</v>
      </c>
      <c r="K27" s="15"/>
      <c r="L27" s="15"/>
      <c r="M27" s="15"/>
      <c r="N27" s="33"/>
    </row>
    <row r="28" spans="1:14" x14ac:dyDescent="0.3">
      <c r="A28" s="15"/>
      <c r="B28" s="40">
        <v>24</v>
      </c>
      <c r="C28" s="4"/>
      <c r="D28" s="3"/>
      <c r="E28" s="5"/>
      <c r="F28" s="22"/>
      <c r="G28" s="34"/>
      <c r="H28" s="44"/>
      <c r="I28" s="47"/>
      <c r="J28" s="21">
        <v>24</v>
      </c>
      <c r="K28" s="15"/>
      <c r="L28" s="15"/>
      <c r="M28" s="15"/>
      <c r="N28" s="33"/>
    </row>
    <row r="29" spans="1:14" x14ac:dyDescent="0.3">
      <c r="A29" s="68"/>
      <c r="B29" s="40">
        <v>25</v>
      </c>
      <c r="C29" s="69"/>
      <c r="D29" s="70"/>
      <c r="E29" s="71"/>
      <c r="F29" s="72"/>
      <c r="G29" s="73"/>
      <c r="H29" s="74"/>
      <c r="I29" s="75"/>
      <c r="J29" s="21">
        <v>25</v>
      </c>
      <c r="K29" s="68"/>
      <c r="L29" s="68"/>
      <c r="M29" s="68"/>
      <c r="N29" s="76"/>
    </row>
    <row r="30" spans="1:14" ht="15" thickBot="1" x14ac:dyDescent="0.35">
      <c r="A30" s="38"/>
      <c r="B30" s="77"/>
      <c r="C30" s="27"/>
      <c r="D30" s="28"/>
      <c r="E30" s="61"/>
      <c r="F30" s="62"/>
      <c r="G30" s="35"/>
      <c r="H30" s="45"/>
      <c r="I30" s="49"/>
      <c r="J30" s="35"/>
      <c r="K30" s="38"/>
      <c r="L30" s="68"/>
      <c r="M30" s="68"/>
      <c r="N30" s="36"/>
    </row>
    <row r="31" spans="1:14" x14ac:dyDescent="0.3">
      <c r="B31" s="24"/>
      <c r="C31" s="25"/>
      <c r="E31" s="64" t="s">
        <v>65</v>
      </c>
      <c r="F31" s="84">
        <v>700000</v>
      </c>
      <c r="G31" s="90" t="s">
        <v>186</v>
      </c>
      <c r="H31" s="125">
        <v>900000</v>
      </c>
      <c r="I31" s="59" t="s">
        <v>187</v>
      </c>
      <c r="J31" s="125">
        <v>150000</v>
      </c>
      <c r="L31" s="125"/>
      <c r="M31" s="96"/>
    </row>
    <row r="32" spans="1:14" x14ac:dyDescent="0.3">
      <c r="E32" s="59" t="s">
        <v>62</v>
      </c>
      <c r="F32" s="90" t="s">
        <v>54</v>
      </c>
      <c r="G32" s="90" t="s">
        <v>26</v>
      </c>
      <c r="H32" s="90" t="s">
        <v>95</v>
      </c>
      <c r="I32" s="90" t="s">
        <v>63</v>
      </c>
      <c r="J32" s="90" t="s">
        <v>64</v>
      </c>
      <c r="K32" s="90"/>
      <c r="L32" s="115" t="s">
        <v>158</v>
      </c>
      <c r="M32" s="115"/>
    </row>
    <row r="33" spans="1:14" x14ac:dyDescent="0.3">
      <c r="E33" s="15" t="s">
        <v>55</v>
      </c>
      <c r="F33" s="57">
        <f>H33*G33</f>
        <v>163537.9</v>
      </c>
      <c r="G33" s="57">
        <v>79</v>
      </c>
      <c r="H33" s="65">
        <v>2070.1</v>
      </c>
      <c r="I33" s="60">
        <v>270</v>
      </c>
      <c r="J33" s="137">
        <f>H33*I33</f>
        <v>558927</v>
      </c>
      <c r="K33" s="137"/>
      <c r="L33" s="83" t="s">
        <v>127</v>
      </c>
      <c r="M33" s="60">
        <v>200000</v>
      </c>
    </row>
    <row r="34" spans="1:14" x14ac:dyDescent="0.3">
      <c r="E34" s="15" t="s">
        <v>113</v>
      </c>
      <c r="F34" s="57">
        <f t="shared" ref="F34:F39" si="2">H34*G34</f>
        <v>300293.5</v>
      </c>
      <c r="G34" s="57">
        <v>65</v>
      </c>
      <c r="H34" s="65">
        <v>4619.8999999999996</v>
      </c>
      <c r="I34" s="60">
        <v>320</v>
      </c>
      <c r="J34" s="137">
        <f t="shared" ref="J34:J39" si="3">H34*I34</f>
        <v>1478368</v>
      </c>
      <c r="K34" s="137"/>
      <c r="L34" s="6" t="s">
        <v>68</v>
      </c>
      <c r="M34" s="60">
        <v>200000</v>
      </c>
    </row>
    <row r="35" spans="1:14" x14ac:dyDescent="0.3">
      <c r="E35" s="15" t="s">
        <v>57</v>
      </c>
      <c r="F35" s="57">
        <f t="shared" si="2"/>
        <v>62227.200000000004</v>
      </c>
      <c r="G35" s="57">
        <v>56</v>
      </c>
      <c r="H35" s="65">
        <v>1111.2</v>
      </c>
      <c r="I35" s="60">
        <v>340</v>
      </c>
      <c r="J35" s="137">
        <f t="shared" si="3"/>
        <v>377808</v>
      </c>
      <c r="K35" s="137"/>
      <c r="L35" s="83" t="s">
        <v>69</v>
      </c>
      <c r="M35" s="60">
        <v>158927</v>
      </c>
    </row>
    <row r="36" spans="1:14" x14ac:dyDescent="0.3">
      <c r="E36" s="15"/>
      <c r="F36" s="57">
        <f t="shared" si="2"/>
        <v>0</v>
      </c>
      <c r="G36" s="57"/>
      <c r="H36" s="65"/>
      <c r="I36" s="60"/>
      <c r="J36" s="137">
        <f t="shared" si="3"/>
        <v>0</v>
      </c>
      <c r="K36" s="137"/>
      <c r="L36" s="83" t="s">
        <v>86</v>
      </c>
      <c r="M36" s="60">
        <v>900000</v>
      </c>
    </row>
    <row r="37" spans="1:14" x14ac:dyDescent="0.3">
      <c r="E37" s="15"/>
      <c r="F37" s="57">
        <f t="shared" si="2"/>
        <v>0</v>
      </c>
      <c r="G37" s="57"/>
      <c r="H37" s="65"/>
      <c r="I37" s="60"/>
      <c r="J37" s="137">
        <f t="shared" si="3"/>
        <v>0</v>
      </c>
      <c r="K37" s="137"/>
      <c r="L37" s="83" t="s">
        <v>19</v>
      </c>
      <c r="M37" s="60">
        <v>200000</v>
      </c>
    </row>
    <row r="38" spans="1:14" x14ac:dyDescent="0.3">
      <c r="E38" s="15"/>
      <c r="F38" s="57">
        <f t="shared" si="2"/>
        <v>0</v>
      </c>
      <c r="G38" s="57"/>
      <c r="H38" s="65"/>
      <c r="I38" s="60"/>
      <c r="J38" s="137">
        <f t="shared" si="3"/>
        <v>0</v>
      </c>
      <c r="K38" s="137"/>
      <c r="L38" s="83" t="s">
        <v>69</v>
      </c>
      <c r="M38" s="60">
        <v>300000</v>
      </c>
      <c r="N38" s="1" t="s">
        <v>138</v>
      </c>
    </row>
    <row r="39" spans="1:14" x14ac:dyDescent="0.3">
      <c r="E39" s="15"/>
      <c r="F39" s="57">
        <f t="shared" si="2"/>
        <v>0</v>
      </c>
      <c r="G39" s="57"/>
      <c r="H39" s="65"/>
      <c r="I39" s="60"/>
      <c r="J39" s="137">
        <f t="shared" si="3"/>
        <v>0</v>
      </c>
      <c r="K39" s="137"/>
      <c r="L39" s="83" t="s">
        <v>49</v>
      </c>
      <c r="M39" s="60">
        <v>82270</v>
      </c>
    </row>
    <row r="40" spans="1:14" x14ac:dyDescent="0.3">
      <c r="E40" s="50" t="s">
        <v>61</v>
      </c>
      <c r="F40" s="58">
        <f>SUM(F33:F38)</f>
        <v>526058.6</v>
      </c>
      <c r="G40" s="58"/>
      <c r="H40" s="82">
        <f>SUM(H33:H39)</f>
        <v>7801.2</v>
      </c>
      <c r="I40" s="50"/>
      <c r="J40" s="138">
        <f>SUM(J33:J39)</f>
        <v>2415103</v>
      </c>
      <c r="K40" s="138"/>
      <c r="L40" s="50" t="s">
        <v>88</v>
      </c>
      <c r="M40" s="5">
        <f>SUM(M33:M39)</f>
        <v>2041197</v>
      </c>
    </row>
    <row r="41" spans="1:14" ht="15" thickBot="1" x14ac:dyDescent="0.35">
      <c r="E41" s="50" t="s">
        <v>126</v>
      </c>
      <c r="F41" s="105" t="str">
        <f>CONCATENATE(ROUND((F40/F31)*100,2),"%")</f>
        <v>75.15%</v>
      </c>
      <c r="G41" s="15"/>
      <c r="H41" s="56"/>
      <c r="I41" s="15"/>
      <c r="J41" s="83"/>
      <c r="K41" s="83"/>
      <c r="L41" s="81" t="s">
        <v>89</v>
      </c>
      <c r="M41" s="110">
        <f>J40-M40</f>
        <v>373906</v>
      </c>
    </row>
    <row r="42" spans="1:14" x14ac:dyDescent="0.3">
      <c r="D42" s="39"/>
      <c r="L42" s="66"/>
      <c r="M42" s="39"/>
    </row>
    <row r="43" spans="1:14" x14ac:dyDescent="0.3">
      <c r="A43" s="172" t="s">
        <v>108</v>
      </c>
      <c r="B43" s="172"/>
      <c r="C43" s="172"/>
      <c r="D43" s="60"/>
      <c r="E43" s="15"/>
      <c r="F43" s="15"/>
      <c r="G43" s="15" t="e">
        <f>F43/E43</f>
        <v>#DIV/0!</v>
      </c>
      <c r="H43" s="97" t="e">
        <f>G43*D43</f>
        <v>#DIV/0!</v>
      </c>
      <c r="I43" s="15"/>
      <c r="J43" s="15"/>
      <c r="K43" s="5"/>
      <c r="L43" s="15"/>
      <c r="M43" s="15"/>
    </row>
    <row r="44" spans="1:14" x14ac:dyDescent="0.3">
      <c r="C44" s="6" t="s">
        <v>55</v>
      </c>
      <c r="D44" s="39"/>
      <c r="F44" s="6" t="s">
        <v>116</v>
      </c>
      <c r="I44" s="1" t="s">
        <v>143</v>
      </c>
    </row>
    <row r="45" spans="1:14" x14ac:dyDescent="0.3">
      <c r="B45"/>
      <c r="E45"/>
      <c r="H45"/>
      <c r="K45" s="14"/>
    </row>
    <row r="46" spans="1:14" x14ac:dyDescent="0.3">
      <c r="B46"/>
    </row>
    <row r="47" spans="1:14" x14ac:dyDescent="0.3">
      <c r="K47" s="26"/>
      <c r="L47" s="56" t="s">
        <v>68</v>
      </c>
      <c r="M47" s="60">
        <v>200000</v>
      </c>
    </row>
    <row r="48" spans="1:14" x14ac:dyDescent="0.3">
      <c r="H48" s="26"/>
      <c r="L48" s="56" t="s">
        <v>144</v>
      </c>
      <c r="M48" s="60">
        <v>400000</v>
      </c>
    </row>
    <row r="49" spans="7:13" x14ac:dyDescent="0.3">
      <c r="K49" s="39"/>
      <c r="L49" s="56" t="s">
        <v>145</v>
      </c>
      <c r="M49" s="60">
        <v>300000</v>
      </c>
    </row>
    <row r="50" spans="7:13" x14ac:dyDescent="0.3">
      <c r="L50" s="56" t="s">
        <v>146</v>
      </c>
      <c r="M50" s="60">
        <v>40000</v>
      </c>
    </row>
    <row r="51" spans="7:13" x14ac:dyDescent="0.3">
      <c r="L51" s="56" t="s">
        <v>147</v>
      </c>
      <c r="M51" s="60">
        <v>38000</v>
      </c>
    </row>
    <row r="52" spans="7:13" x14ac:dyDescent="0.3">
      <c r="L52" s="56" t="s">
        <v>148</v>
      </c>
      <c r="M52" s="60">
        <v>15000</v>
      </c>
    </row>
    <row r="53" spans="7:13" x14ac:dyDescent="0.3">
      <c r="L53" s="56"/>
      <c r="M53" s="60"/>
    </row>
    <row r="54" spans="7:13" x14ac:dyDescent="0.3">
      <c r="G54" s="39"/>
      <c r="L54" s="56"/>
      <c r="M54" s="60"/>
    </row>
    <row r="55" spans="7:13" x14ac:dyDescent="0.3">
      <c r="G55" s="39"/>
      <c r="L55" s="111" t="s">
        <v>61</v>
      </c>
      <c r="M55" s="14">
        <f>SUM(M47:M54)</f>
        <v>993000</v>
      </c>
    </row>
    <row r="56" spans="7:13" x14ac:dyDescent="0.3">
      <c r="G56" s="14"/>
    </row>
    <row r="66" spans="6:6" x14ac:dyDescent="0.3">
      <c r="F66" s="39"/>
    </row>
  </sheetData>
  <mergeCells count="13">
    <mergeCell ref="B3:F3"/>
    <mergeCell ref="G3:I3"/>
    <mergeCell ref="J3:N3"/>
    <mergeCell ref="B1:F1"/>
    <mergeCell ref="H1:I1"/>
    <mergeCell ref="K1:L1"/>
    <mergeCell ref="B2:C2"/>
    <mergeCell ref="H2:I2"/>
    <mergeCell ref="G14:I14"/>
    <mergeCell ref="H15:I15"/>
    <mergeCell ref="G17:I17"/>
    <mergeCell ref="H16:I16"/>
    <mergeCell ref="A43:C43"/>
  </mergeCells>
  <conditionalFormatting sqref="K1:L1">
    <cfRule type="cellIs" dxfId="52" priority="1" operator="greaterThan">
      <formula>0</formula>
    </cfRule>
    <cfRule type="cellIs" dxfId="51" priority="2" operator="lessThan">
      <formula>0</formula>
    </cfRule>
  </conditionalFormatting>
  <conditionalFormatting sqref="L5:L22">
    <cfRule type="duplicateValues" dxfId="50" priority="3"/>
  </conditionalFormatting>
  <conditionalFormatting sqref="M5:M22">
    <cfRule type="duplicateValues" dxfId="49" priority="4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9623-A1DC-458C-9DBF-F864DF06DA84}">
  <dimension ref="A1:N67"/>
  <sheetViews>
    <sheetView topLeftCell="B1" zoomScaleNormal="100" workbookViewId="0">
      <pane ySplit="1" topLeftCell="A22" activePane="bottomLeft" state="frozen"/>
      <selection pane="bottomLeft" activeCell="B40" sqref="A40:XFD40"/>
    </sheetView>
  </sheetViews>
  <sheetFormatPr defaultRowHeight="14.4" x14ac:dyDescent="0.3"/>
  <cols>
    <col min="1" max="1" width="2.5546875" style="1" customWidth="1"/>
    <col min="2" max="2" width="8.88671875" style="6"/>
    <col min="3" max="3" width="10.77734375" style="6" bestFit="1" customWidth="1"/>
    <col min="4" max="4" width="25.109375" style="1" customWidth="1"/>
    <col min="5" max="5" width="13.77734375" style="1" bestFit="1" customWidth="1"/>
    <col min="6" max="6" width="19.5546875" style="1" bestFit="1" customWidth="1"/>
    <col min="7" max="7" width="10.33203125" style="1" bestFit="1" customWidth="1"/>
    <col min="8" max="8" width="12.88671875" style="1" bestFit="1" customWidth="1"/>
    <col min="9" max="9" width="8" style="1" customWidth="1"/>
    <col min="10" max="10" width="8.33203125" style="1" customWidth="1"/>
    <col min="11" max="11" width="10.33203125" style="6" bestFit="1" customWidth="1"/>
    <col min="12" max="12" width="40" style="1" bestFit="1" customWidth="1"/>
    <col min="13" max="13" width="15.88671875" style="1" customWidth="1"/>
    <col min="14" max="14" width="22.5546875" style="1" customWidth="1"/>
    <col min="15" max="16384" width="8.88671875" style="1"/>
  </cols>
  <sheetData>
    <row r="1" spans="1:14" ht="16.2" thickBot="1" x14ac:dyDescent="0.35">
      <c r="A1" s="42"/>
      <c r="B1" s="186" t="s">
        <v>183</v>
      </c>
      <c r="C1" s="187"/>
      <c r="D1" s="187"/>
      <c r="E1" s="187"/>
      <c r="F1" s="188"/>
      <c r="G1" s="16" t="s">
        <v>25</v>
      </c>
      <c r="H1" s="176">
        <v>45631</v>
      </c>
      <c r="I1" s="177"/>
      <c r="J1" s="17" t="s">
        <v>15</v>
      </c>
      <c r="K1" s="189">
        <f>M2-E2</f>
        <v>528979</v>
      </c>
      <c r="L1" s="190"/>
      <c r="M1" s="18"/>
      <c r="N1" s="19"/>
    </row>
    <row r="2" spans="1:14" ht="15.6" x14ac:dyDescent="0.3">
      <c r="A2" s="41"/>
      <c r="B2" s="191"/>
      <c r="C2" s="192"/>
      <c r="D2" s="13" t="s">
        <v>14</v>
      </c>
      <c r="E2" s="12">
        <f>SUM(E5:E30)</f>
        <v>1502849</v>
      </c>
      <c r="F2" s="20"/>
      <c r="G2" s="31" t="s">
        <v>32</v>
      </c>
      <c r="H2" s="178" t="s">
        <v>257</v>
      </c>
      <c r="I2" s="193"/>
      <c r="J2" s="37"/>
      <c r="K2" s="10"/>
      <c r="L2" s="11" t="s">
        <v>14</v>
      </c>
      <c r="M2" s="12">
        <f>SUM(M5:M22)</f>
        <v>2031828</v>
      </c>
      <c r="N2" s="20"/>
    </row>
    <row r="3" spans="1:14" x14ac:dyDescent="0.3">
      <c r="B3" s="194" t="s">
        <v>36</v>
      </c>
      <c r="C3" s="195"/>
      <c r="D3" s="196"/>
      <c r="E3" s="196"/>
      <c r="F3" s="197"/>
      <c r="G3" s="180" t="s">
        <v>33</v>
      </c>
      <c r="H3" s="181"/>
      <c r="I3" s="181"/>
      <c r="J3" s="194" t="s">
        <v>37</v>
      </c>
      <c r="K3" s="195"/>
      <c r="L3" s="196"/>
      <c r="M3" s="196"/>
      <c r="N3" s="197"/>
    </row>
    <row r="4" spans="1:14" x14ac:dyDescent="0.3">
      <c r="A4" s="3"/>
      <c r="B4" s="40" t="s">
        <v>0</v>
      </c>
      <c r="C4" s="2" t="s">
        <v>3</v>
      </c>
      <c r="D4" s="3" t="s">
        <v>1</v>
      </c>
      <c r="E4" s="3" t="s">
        <v>13</v>
      </c>
      <c r="F4" s="22" t="s">
        <v>2</v>
      </c>
      <c r="G4" s="21" t="s">
        <v>3</v>
      </c>
      <c r="H4" s="99" t="s">
        <v>26</v>
      </c>
      <c r="I4" s="99" t="s">
        <v>32</v>
      </c>
      <c r="J4" s="40" t="s">
        <v>0</v>
      </c>
      <c r="K4" s="2" t="s">
        <v>3</v>
      </c>
      <c r="L4" s="3" t="s">
        <v>1</v>
      </c>
      <c r="M4" s="3" t="s">
        <v>13</v>
      </c>
      <c r="N4" s="22" t="s">
        <v>2</v>
      </c>
    </row>
    <row r="5" spans="1:14" x14ac:dyDescent="0.3">
      <c r="A5" s="15"/>
      <c r="B5" s="40">
        <v>1</v>
      </c>
      <c r="C5" s="7">
        <v>45631</v>
      </c>
      <c r="D5" s="26" t="s">
        <v>149</v>
      </c>
      <c r="E5" s="9">
        <v>265000</v>
      </c>
      <c r="F5" s="23" t="s">
        <v>150</v>
      </c>
      <c r="G5" s="43">
        <v>45692</v>
      </c>
      <c r="H5" s="44">
        <v>137</v>
      </c>
      <c r="I5" s="47" t="str">
        <f>IF(ISBLANK(G5),"",CONCATENATE(G5-$H$1+1," days"))</f>
        <v>62 days</v>
      </c>
      <c r="J5" s="21">
        <v>1</v>
      </c>
      <c r="K5" s="116">
        <v>45701</v>
      </c>
      <c r="L5" s="3" t="s">
        <v>154</v>
      </c>
      <c r="M5" s="5">
        <v>526628</v>
      </c>
      <c r="N5" s="22"/>
    </row>
    <row r="6" spans="1:14" x14ac:dyDescent="0.3">
      <c r="A6" s="15"/>
      <c r="B6" s="40">
        <v>2</v>
      </c>
      <c r="C6" s="7">
        <v>45631</v>
      </c>
      <c r="D6" s="8" t="s">
        <v>21</v>
      </c>
      <c r="E6" s="9">
        <v>38941</v>
      </c>
      <c r="F6" s="23"/>
      <c r="G6" s="43">
        <v>45701</v>
      </c>
      <c r="H6" s="44">
        <v>110</v>
      </c>
      <c r="I6" s="47" t="str">
        <f t="shared" ref="I6:I13" si="0">IF(ISBLANK(G6),"",CONCATENATE(G6-$H$1+1," days"))</f>
        <v>71 days</v>
      </c>
      <c r="J6" s="21">
        <v>2</v>
      </c>
      <c r="K6" s="4">
        <v>45709</v>
      </c>
      <c r="L6" s="3" t="s">
        <v>160</v>
      </c>
      <c r="M6" s="5">
        <v>1357200</v>
      </c>
      <c r="N6" s="22"/>
    </row>
    <row r="7" spans="1:14" x14ac:dyDescent="0.3">
      <c r="A7" s="15"/>
      <c r="B7" s="40">
        <v>3</v>
      </c>
      <c r="C7" s="7">
        <v>45677</v>
      </c>
      <c r="D7" s="8" t="s">
        <v>29</v>
      </c>
      <c r="E7" s="9">
        <v>23950</v>
      </c>
      <c r="F7" s="23"/>
      <c r="G7" s="43">
        <v>45708</v>
      </c>
      <c r="H7" s="44">
        <v>100</v>
      </c>
      <c r="I7" s="47" t="str">
        <f t="shared" si="0"/>
        <v>78 days</v>
      </c>
      <c r="J7" s="21">
        <v>3</v>
      </c>
      <c r="K7" s="4">
        <v>45717</v>
      </c>
      <c r="L7" s="3" t="s">
        <v>161</v>
      </c>
      <c r="M7" s="5">
        <v>148000</v>
      </c>
      <c r="N7" s="22"/>
    </row>
    <row r="8" spans="1:14" x14ac:dyDescent="0.3">
      <c r="A8" s="15"/>
      <c r="B8" s="40">
        <v>4</v>
      </c>
      <c r="C8" s="7">
        <v>45653</v>
      </c>
      <c r="D8" s="8" t="s">
        <v>104</v>
      </c>
      <c r="E8" s="9">
        <v>40000</v>
      </c>
      <c r="F8" s="22" t="s">
        <v>151</v>
      </c>
      <c r="G8" s="43">
        <v>45709</v>
      </c>
      <c r="H8" s="44">
        <v>97</v>
      </c>
      <c r="I8" s="47" t="str">
        <f t="shared" si="0"/>
        <v>79 days</v>
      </c>
      <c r="J8" s="21">
        <v>4</v>
      </c>
      <c r="K8" s="4"/>
      <c r="L8" s="3"/>
      <c r="M8" s="5"/>
      <c r="N8" s="22"/>
    </row>
    <row r="9" spans="1:14" x14ac:dyDescent="0.3">
      <c r="A9" s="15"/>
      <c r="B9" s="40">
        <v>5</v>
      </c>
      <c r="C9" s="7">
        <v>45701</v>
      </c>
      <c r="D9" s="3" t="s">
        <v>152</v>
      </c>
      <c r="E9" s="5">
        <v>8000</v>
      </c>
      <c r="F9" s="22"/>
      <c r="G9" s="46"/>
      <c r="H9" s="44"/>
      <c r="I9" s="47" t="str">
        <f t="shared" si="0"/>
        <v/>
      </c>
      <c r="J9" s="21">
        <v>5</v>
      </c>
      <c r="K9" s="4"/>
      <c r="L9" s="3"/>
      <c r="M9" s="5"/>
      <c r="N9" s="22"/>
    </row>
    <row r="10" spans="1:14" x14ac:dyDescent="0.3">
      <c r="A10" s="15"/>
      <c r="B10" s="40">
        <v>6</v>
      </c>
      <c r="C10" s="7">
        <v>45705</v>
      </c>
      <c r="D10" s="3" t="s">
        <v>29</v>
      </c>
      <c r="E10" s="5">
        <v>31958</v>
      </c>
      <c r="F10" s="22"/>
      <c r="G10" s="46"/>
      <c r="H10" s="44"/>
      <c r="I10" s="47" t="str">
        <f t="shared" si="0"/>
        <v/>
      </c>
      <c r="J10" s="21">
        <v>6</v>
      </c>
      <c r="K10" s="2"/>
      <c r="L10" s="3"/>
      <c r="M10" s="5"/>
      <c r="N10" s="22"/>
    </row>
    <row r="11" spans="1:14" x14ac:dyDescent="0.3">
      <c r="A11" s="15"/>
      <c r="B11" s="40">
        <v>7</v>
      </c>
      <c r="C11" s="7">
        <v>45714</v>
      </c>
      <c r="D11" s="3" t="s">
        <v>60</v>
      </c>
      <c r="E11" s="5">
        <v>1095000</v>
      </c>
      <c r="F11" s="22"/>
      <c r="G11" s="46"/>
      <c r="H11" s="44"/>
      <c r="I11" s="47" t="str">
        <f t="shared" si="0"/>
        <v/>
      </c>
      <c r="J11" s="21">
        <v>7</v>
      </c>
      <c r="K11" s="2"/>
      <c r="L11" s="3"/>
      <c r="M11" s="5"/>
      <c r="N11" s="22"/>
    </row>
    <row r="12" spans="1:14" x14ac:dyDescent="0.3">
      <c r="A12" s="15"/>
      <c r="B12" s="40">
        <v>8</v>
      </c>
      <c r="C12" s="7"/>
      <c r="D12" s="3"/>
      <c r="E12" s="5"/>
      <c r="F12" s="55"/>
      <c r="G12" s="46"/>
      <c r="H12" s="109"/>
      <c r="I12" s="47" t="str">
        <f t="shared" si="0"/>
        <v/>
      </c>
      <c r="J12" s="40">
        <v>8</v>
      </c>
      <c r="K12" s="2"/>
      <c r="L12" s="3"/>
      <c r="M12" s="5"/>
      <c r="N12" s="22"/>
    </row>
    <row r="13" spans="1:14" x14ac:dyDescent="0.3">
      <c r="A13" s="15"/>
      <c r="B13" s="40">
        <v>9</v>
      </c>
      <c r="C13" s="7"/>
      <c r="D13" s="3"/>
      <c r="E13" s="5"/>
      <c r="F13" s="55"/>
      <c r="G13" s="46"/>
      <c r="H13" s="109"/>
      <c r="I13" s="47" t="str">
        <f t="shared" si="0"/>
        <v/>
      </c>
      <c r="J13" s="40">
        <v>9</v>
      </c>
      <c r="K13" s="2"/>
      <c r="L13" s="3"/>
      <c r="M13" s="5"/>
      <c r="N13" s="22"/>
    </row>
    <row r="14" spans="1:14" ht="15" thickBot="1" x14ac:dyDescent="0.35">
      <c r="A14" s="15"/>
      <c r="B14" s="40">
        <v>10</v>
      </c>
      <c r="C14" s="7"/>
      <c r="D14" s="3"/>
      <c r="E14" s="5"/>
      <c r="F14" s="67"/>
      <c r="G14" s="173" t="s">
        <v>57</v>
      </c>
      <c r="H14" s="174"/>
      <c r="I14" s="175"/>
      <c r="J14" s="21">
        <v>10</v>
      </c>
      <c r="K14" s="2"/>
      <c r="L14" s="3"/>
      <c r="M14" s="5"/>
      <c r="N14" s="22"/>
    </row>
    <row r="15" spans="1:14" ht="15" thickBot="1" x14ac:dyDescent="0.35">
      <c r="A15" s="15"/>
      <c r="B15" s="40">
        <v>11</v>
      </c>
      <c r="C15" s="7"/>
      <c r="D15" s="3"/>
      <c r="E15" s="5"/>
      <c r="F15" s="22"/>
      <c r="G15" s="16" t="s">
        <v>25</v>
      </c>
      <c r="H15" s="176">
        <v>45653</v>
      </c>
      <c r="I15" s="177"/>
      <c r="J15" s="21">
        <v>11</v>
      </c>
      <c r="K15" s="2"/>
      <c r="L15" s="3"/>
      <c r="M15" s="5"/>
      <c r="N15" s="22"/>
    </row>
    <row r="16" spans="1:14" x14ac:dyDescent="0.3">
      <c r="A16" s="15"/>
      <c r="B16" s="40">
        <v>12</v>
      </c>
      <c r="C16" s="7"/>
      <c r="D16" s="3"/>
      <c r="E16" s="5"/>
      <c r="F16" s="22"/>
      <c r="G16" s="31" t="s">
        <v>32</v>
      </c>
      <c r="H16" s="178" t="s">
        <v>258</v>
      </c>
      <c r="I16" s="179"/>
      <c r="J16" s="21">
        <v>12</v>
      </c>
      <c r="K16" s="2"/>
      <c r="L16" s="3"/>
      <c r="M16" s="5"/>
      <c r="N16" s="22"/>
    </row>
    <row r="17" spans="1:14" x14ac:dyDescent="0.3">
      <c r="A17" s="15"/>
      <c r="B17" s="40">
        <v>13</v>
      </c>
      <c r="C17" s="7"/>
      <c r="D17" s="3"/>
      <c r="E17" s="5"/>
      <c r="F17" s="22"/>
      <c r="G17" s="180" t="s">
        <v>33</v>
      </c>
      <c r="H17" s="181"/>
      <c r="I17" s="182"/>
      <c r="J17" s="21">
        <v>13</v>
      </c>
      <c r="K17" s="2"/>
      <c r="L17" s="3"/>
      <c r="M17" s="5"/>
      <c r="N17" s="22"/>
    </row>
    <row r="18" spans="1:14" x14ac:dyDescent="0.3">
      <c r="A18" s="15"/>
      <c r="B18" s="40">
        <v>14</v>
      </c>
      <c r="C18" s="7"/>
      <c r="D18" s="3"/>
      <c r="E18" s="5"/>
      <c r="F18" s="22"/>
      <c r="G18" s="21" t="s">
        <v>3</v>
      </c>
      <c r="H18" s="2" t="s">
        <v>26</v>
      </c>
      <c r="I18" s="2" t="s">
        <v>32</v>
      </c>
      <c r="J18" s="40">
        <v>14</v>
      </c>
      <c r="K18" s="2"/>
      <c r="L18" s="3"/>
      <c r="M18" s="5"/>
      <c r="N18" s="22"/>
    </row>
    <row r="19" spans="1:14" x14ac:dyDescent="0.3">
      <c r="A19" s="15"/>
      <c r="B19" s="40">
        <v>15</v>
      </c>
      <c r="C19" s="7"/>
      <c r="D19" s="3"/>
      <c r="E19" s="5"/>
      <c r="F19" s="22"/>
      <c r="G19" s="43">
        <v>45692</v>
      </c>
      <c r="H19" s="44">
        <v>240</v>
      </c>
      <c r="I19" s="47" t="str">
        <f>IF(ISBLANK(G19),"",CONCATENATE(G19-$H$15+1," days"))</f>
        <v>40 days</v>
      </c>
      <c r="J19" s="21">
        <v>15</v>
      </c>
      <c r="K19" s="2"/>
      <c r="L19" s="3"/>
      <c r="M19" s="5"/>
      <c r="N19" s="22"/>
    </row>
    <row r="20" spans="1:14" x14ac:dyDescent="0.3">
      <c r="A20" s="15"/>
      <c r="B20" s="40">
        <v>16</v>
      </c>
      <c r="C20" s="4"/>
      <c r="D20" s="3"/>
      <c r="E20" s="5"/>
      <c r="F20" s="22"/>
      <c r="G20" s="43">
        <v>45700</v>
      </c>
      <c r="H20" s="44">
        <v>186</v>
      </c>
      <c r="I20" s="47" t="str">
        <f t="shared" ref="I20:I25" si="1">IF(ISBLANK(G20),"",CONCATENATE(G20-$H$15+1," days"))</f>
        <v>48 days</v>
      </c>
      <c r="J20" s="21">
        <v>16</v>
      </c>
      <c r="K20" s="2"/>
      <c r="L20" s="3"/>
      <c r="M20" s="5"/>
      <c r="N20" s="22"/>
    </row>
    <row r="21" spans="1:14" x14ac:dyDescent="0.3">
      <c r="A21" s="15"/>
      <c r="B21" s="40">
        <v>17</v>
      </c>
      <c r="C21" s="4"/>
      <c r="D21" s="3"/>
      <c r="E21" s="5"/>
      <c r="F21" s="22"/>
      <c r="G21" s="43">
        <v>45708</v>
      </c>
      <c r="H21" s="44">
        <v>142</v>
      </c>
      <c r="I21" s="47" t="str">
        <f t="shared" si="1"/>
        <v>56 days</v>
      </c>
      <c r="J21" s="21">
        <v>17</v>
      </c>
      <c r="K21" s="2"/>
      <c r="L21" s="3"/>
      <c r="M21" s="5"/>
      <c r="N21" s="22"/>
    </row>
    <row r="22" spans="1:14" x14ac:dyDescent="0.3">
      <c r="A22" s="15"/>
      <c r="B22" s="40">
        <v>18</v>
      </c>
      <c r="C22" s="4"/>
      <c r="D22" s="3"/>
      <c r="E22" s="5"/>
      <c r="F22" s="22"/>
      <c r="G22" s="46">
        <v>45714</v>
      </c>
      <c r="H22" s="44">
        <v>146</v>
      </c>
      <c r="I22" s="47" t="str">
        <f t="shared" si="1"/>
        <v>62 days</v>
      </c>
      <c r="J22" s="21">
        <v>18</v>
      </c>
      <c r="K22" s="2"/>
      <c r="L22" s="3"/>
      <c r="M22" s="5"/>
      <c r="N22" s="22"/>
    </row>
    <row r="23" spans="1:14" x14ac:dyDescent="0.3">
      <c r="A23" s="15"/>
      <c r="B23" s="40">
        <v>19</v>
      </c>
      <c r="C23" s="4"/>
      <c r="D23" s="3"/>
      <c r="E23" s="5"/>
      <c r="F23" s="22"/>
      <c r="G23" s="46">
        <v>45717</v>
      </c>
      <c r="H23" s="44">
        <v>140</v>
      </c>
      <c r="I23" s="47" t="str">
        <f t="shared" si="1"/>
        <v>65 days</v>
      </c>
      <c r="J23" s="21">
        <v>19</v>
      </c>
      <c r="K23" s="83"/>
      <c r="L23" s="15"/>
      <c r="M23" s="15"/>
      <c r="N23" s="33"/>
    </row>
    <row r="24" spans="1:14" x14ac:dyDescent="0.3">
      <c r="A24" s="15"/>
      <c r="B24" s="40">
        <v>20</v>
      </c>
      <c r="C24" s="4"/>
      <c r="D24" s="3"/>
      <c r="E24" s="5"/>
      <c r="F24" s="22"/>
      <c r="G24" s="34"/>
      <c r="H24" s="44"/>
      <c r="I24" s="47" t="str">
        <f t="shared" si="1"/>
        <v/>
      </c>
      <c r="J24" s="21">
        <v>20</v>
      </c>
      <c r="K24" s="83"/>
      <c r="L24" s="15"/>
      <c r="M24" s="15"/>
      <c r="N24" s="33"/>
    </row>
    <row r="25" spans="1:14" x14ac:dyDescent="0.3">
      <c r="A25" s="15"/>
      <c r="B25" s="40">
        <v>21</v>
      </c>
      <c r="C25" s="4"/>
      <c r="D25" s="3"/>
      <c r="E25" s="5"/>
      <c r="F25" s="22"/>
      <c r="G25" s="34"/>
      <c r="H25" s="44"/>
      <c r="I25" s="47" t="str">
        <f t="shared" si="1"/>
        <v/>
      </c>
      <c r="J25" s="21">
        <v>21</v>
      </c>
      <c r="K25" s="83"/>
      <c r="L25" s="15"/>
      <c r="M25" s="15"/>
      <c r="N25" s="33"/>
    </row>
    <row r="26" spans="1:14" x14ac:dyDescent="0.3">
      <c r="A26" s="15"/>
      <c r="B26" s="40">
        <v>22</v>
      </c>
      <c r="C26" s="4"/>
      <c r="D26" s="3"/>
      <c r="E26" s="5"/>
      <c r="F26" s="22"/>
      <c r="G26" s="34"/>
      <c r="H26" s="44"/>
      <c r="I26" s="47"/>
      <c r="J26" s="21">
        <v>22</v>
      </c>
      <c r="K26" s="83"/>
      <c r="L26" s="15"/>
      <c r="M26" s="15"/>
      <c r="N26" s="33"/>
    </row>
    <row r="27" spans="1:14" x14ac:dyDescent="0.3">
      <c r="A27" s="15"/>
      <c r="B27" s="40">
        <v>23</v>
      </c>
      <c r="C27" s="4"/>
      <c r="D27" s="3"/>
      <c r="E27" s="5"/>
      <c r="F27" s="22"/>
      <c r="G27" s="34"/>
      <c r="H27" s="44"/>
      <c r="I27" s="47"/>
      <c r="J27" s="21">
        <v>23</v>
      </c>
      <c r="K27" s="83"/>
      <c r="L27" s="15"/>
      <c r="M27" s="15"/>
      <c r="N27" s="33"/>
    </row>
    <row r="28" spans="1:14" x14ac:dyDescent="0.3">
      <c r="A28" s="15"/>
      <c r="B28" s="40">
        <v>24</v>
      </c>
      <c r="C28" s="4"/>
      <c r="D28" s="3"/>
      <c r="E28" s="5"/>
      <c r="F28" s="22"/>
      <c r="G28" s="34"/>
      <c r="H28" s="44"/>
      <c r="I28" s="47"/>
      <c r="J28" s="21">
        <v>24</v>
      </c>
      <c r="K28" s="83"/>
      <c r="L28" s="15"/>
      <c r="M28" s="15"/>
      <c r="N28" s="33"/>
    </row>
    <row r="29" spans="1:14" x14ac:dyDescent="0.3">
      <c r="A29" s="68"/>
      <c r="B29" s="40">
        <v>25</v>
      </c>
      <c r="C29" s="69"/>
      <c r="D29" s="70"/>
      <c r="E29" s="71"/>
      <c r="F29" s="72"/>
      <c r="G29" s="73"/>
      <c r="H29" s="74"/>
      <c r="I29" s="75"/>
      <c r="J29" s="21">
        <v>25</v>
      </c>
      <c r="K29" s="117"/>
      <c r="L29" s="68"/>
      <c r="M29" s="68"/>
      <c r="N29" s="76"/>
    </row>
    <row r="30" spans="1:14" ht="15" thickBot="1" x14ac:dyDescent="0.35">
      <c r="A30" s="38"/>
      <c r="B30" s="77"/>
      <c r="C30" s="27"/>
      <c r="D30" s="28"/>
      <c r="E30" s="61"/>
      <c r="F30" s="62"/>
      <c r="G30" s="35"/>
      <c r="H30" s="45"/>
      <c r="I30" s="49"/>
      <c r="J30" s="35"/>
      <c r="K30" s="118"/>
      <c r="L30" s="68"/>
      <c r="M30" s="68"/>
      <c r="N30" s="36"/>
    </row>
    <row r="31" spans="1:14" x14ac:dyDescent="0.3">
      <c r="B31" s="24"/>
      <c r="C31" s="25"/>
      <c r="E31" s="64" t="s">
        <v>65</v>
      </c>
      <c r="F31" s="84">
        <v>925000</v>
      </c>
      <c r="G31" s="90" t="s">
        <v>186</v>
      </c>
      <c r="H31" s="125">
        <v>900000</v>
      </c>
      <c r="I31" s="59" t="s">
        <v>187</v>
      </c>
      <c r="J31" s="125">
        <v>150000</v>
      </c>
      <c r="K31" s="139"/>
      <c r="L31" s="96"/>
      <c r="M31" s="96"/>
    </row>
    <row r="32" spans="1:14" x14ac:dyDescent="0.3">
      <c r="E32" s="59" t="s">
        <v>62</v>
      </c>
      <c r="F32" s="90" t="s">
        <v>54</v>
      </c>
      <c r="G32" s="90" t="s">
        <v>26</v>
      </c>
      <c r="H32" s="90" t="s">
        <v>95</v>
      </c>
      <c r="I32" s="90" t="s">
        <v>63</v>
      </c>
      <c r="J32" s="90" t="s">
        <v>64</v>
      </c>
      <c r="K32" s="90"/>
      <c r="L32" s="115" t="s">
        <v>158</v>
      </c>
      <c r="M32" s="115"/>
    </row>
    <row r="33" spans="1:13" x14ac:dyDescent="0.3">
      <c r="E33" s="15" t="s">
        <v>55</v>
      </c>
      <c r="F33" s="57">
        <f>H33*G33</f>
        <v>236445</v>
      </c>
      <c r="G33" s="57">
        <v>110</v>
      </c>
      <c r="H33" s="65">
        <v>2149.5</v>
      </c>
      <c r="I33" s="60">
        <v>245</v>
      </c>
      <c r="J33" s="137">
        <f>H33*I33</f>
        <v>526627.5</v>
      </c>
      <c r="K33" s="137"/>
      <c r="L33" s="83" t="s">
        <v>127</v>
      </c>
      <c r="M33" s="60">
        <v>200000</v>
      </c>
    </row>
    <row r="34" spans="1:13" x14ac:dyDescent="0.3">
      <c r="E34" s="15" t="s">
        <v>113</v>
      </c>
      <c r="F34" s="57">
        <f t="shared" ref="F34:F39" si="2">H34*G34</f>
        <v>506340</v>
      </c>
      <c r="G34" s="57">
        <v>97</v>
      </c>
      <c r="H34" s="65">
        <v>5220</v>
      </c>
      <c r="I34" s="60">
        <v>260</v>
      </c>
      <c r="J34" s="137">
        <f t="shared" ref="J34:J39" si="3">H34*I34</f>
        <v>1357200</v>
      </c>
      <c r="K34" s="137"/>
      <c r="L34" s="83" t="s">
        <v>127</v>
      </c>
      <c r="M34" s="60">
        <v>50000</v>
      </c>
    </row>
    <row r="35" spans="1:13" x14ac:dyDescent="0.3">
      <c r="E35" s="15" t="s">
        <v>57</v>
      </c>
      <c r="F35" s="57">
        <f t="shared" si="2"/>
        <v>99900</v>
      </c>
      <c r="G35" s="57">
        <v>135</v>
      </c>
      <c r="H35" s="65">
        <v>740</v>
      </c>
      <c r="I35" s="60">
        <v>200</v>
      </c>
      <c r="J35" s="137">
        <f t="shared" si="3"/>
        <v>148000</v>
      </c>
      <c r="K35" s="137"/>
      <c r="L35" s="83" t="s">
        <v>127</v>
      </c>
      <c r="M35" s="60">
        <v>200000</v>
      </c>
    </row>
    <row r="36" spans="1:13" x14ac:dyDescent="0.3">
      <c r="E36" s="15"/>
      <c r="F36" s="57">
        <f t="shared" si="2"/>
        <v>0</v>
      </c>
      <c r="G36" s="57"/>
      <c r="H36" s="65"/>
      <c r="I36" s="60"/>
      <c r="J36" s="137">
        <f t="shared" si="3"/>
        <v>0</v>
      </c>
      <c r="K36" s="137"/>
      <c r="L36" s="83" t="s">
        <v>60</v>
      </c>
      <c r="M36" s="60">
        <v>1095000</v>
      </c>
    </row>
    <row r="37" spans="1:13" x14ac:dyDescent="0.3">
      <c r="E37" s="15"/>
      <c r="F37" s="57">
        <f t="shared" si="2"/>
        <v>0</v>
      </c>
      <c r="G37" s="57"/>
      <c r="H37" s="65"/>
      <c r="I37" s="60"/>
      <c r="J37" s="137">
        <f t="shared" si="3"/>
        <v>0</v>
      </c>
      <c r="K37" s="137"/>
      <c r="L37" s="83" t="s">
        <v>19</v>
      </c>
      <c r="M37" s="60">
        <v>240000</v>
      </c>
    </row>
    <row r="38" spans="1:13" x14ac:dyDescent="0.3">
      <c r="E38" s="15"/>
      <c r="F38" s="57">
        <f t="shared" si="2"/>
        <v>0</v>
      </c>
      <c r="G38" s="57"/>
      <c r="H38" s="65"/>
      <c r="I38" s="60"/>
      <c r="J38" s="137">
        <f t="shared" si="3"/>
        <v>0</v>
      </c>
      <c r="K38" s="137"/>
      <c r="L38" s="83" t="s">
        <v>69</v>
      </c>
      <c r="M38" s="60">
        <v>274600</v>
      </c>
    </row>
    <row r="39" spans="1:13" x14ac:dyDescent="0.3">
      <c r="E39" s="15"/>
      <c r="F39" s="57">
        <f t="shared" si="2"/>
        <v>0</v>
      </c>
      <c r="G39" s="57"/>
      <c r="H39" s="65"/>
      <c r="I39" s="60"/>
      <c r="J39" s="137">
        <f t="shared" si="3"/>
        <v>0</v>
      </c>
      <c r="K39" s="137"/>
      <c r="L39" s="83"/>
      <c r="M39" s="60"/>
    </row>
    <row r="40" spans="1:13" x14ac:dyDescent="0.3">
      <c r="E40" s="50" t="s">
        <v>61</v>
      </c>
      <c r="F40" s="58">
        <f>SUM(F33:F38)</f>
        <v>842685</v>
      </c>
      <c r="G40" s="58"/>
      <c r="H40" s="82">
        <f>SUM(H33:H39)</f>
        <v>8109.5</v>
      </c>
      <c r="I40" s="50"/>
      <c r="J40" s="138">
        <f>SUM(J33:J39)</f>
        <v>2031827.5</v>
      </c>
      <c r="K40" s="138"/>
      <c r="L40" s="50" t="s">
        <v>88</v>
      </c>
      <c r="M40" s="5">
        <f>SUM(M33:M39)</f>
        <v>2059600</v>
      </c>
    </row>
    <row r="41" spans="1:13" ht="15" thickBot="1" x14ac:dyDescent="0.35">
      <c r="E41" s="50" t="s">
        <v>126</v>
      </c>
      <c r="F41" s="105" t="str">
        <f>CONCATENATE(ROUND((F40/F31)*100,2),"%")</f>
        <v>91.1%</v>
      </c>
      <c r="G41" s="15"/>
      <c r="H41" s="56"/>
      <c r="I41" s="15"/>
      <c r="J41" s="83"/>
      <c r="K41" s="83"/>
      <c r="L41" s="81" t="s">
        <v>89</v>
      </c>
      <c r="M41" s="5">
        <f>J40-M40</f>
        <v>-27772.5</v>
      </c>
    </row>
    <row r="42" spans="1:13" x14ac:dyDescent="0.3">
      <c r="D42" s="39"/>
      <c r="L42" s="66"/>
      <c r="M42" s="39"/>
    </row>
    <row r="43" spans="1:13" x14ac:dyDescent="0.3">
      <c r="A43" s="172" t="s">
        <v>108</v>
      </c>
      <c r="B43" s="172"/>
      <c r="C43" s="172"/>
      <c r="D43" s="60"/>
      <c r="E43" s="15"/>
      <c r="F43" s="15"/>
      <c r="G43" s="5"/>
      <c r="H43" s="97"/>
      <c r="I43" s="15"/>
      <c r="J43" s="15"/>
      <c r="K43" s="119"/>
      <c r="L43" s="15"/>
      <c r="M43" s="15"/>
    </row>
    <row r="44" spans="1:13" x14ac:dyDescent="0.3">
      <c r="C44" s="6" t="s">
        <v>55</v>
      </c>
      <c r="D44" s="39"/>
      <c r="F44" s="59"/>
      <c r="G44" s="59" t="s">
        <v>21</v>
      </c>
      <c r="H44" s="59"/>
      <c r="I44" s="59" t="s">
        <v>19</v>
      </c>
      <c r="J44" s="59"/>
      <c r="K44" s="115" t="s">
        <v>137</v>
      </c>
    </row>
    <row r="45" spans="1:13" x14ac:dyDescent="0.3">
      <c r="B45"/>
      <c r="F45" s="90" t="s">
        <v>131</v>
      </c>
      <c r="G45" s="108">
        <v>34</v>
      </c>
      <c r="H45" s="90" t="s">
        <v>135</v>
      </c>
      <c r="I45" s="108">
        <v>2000</v>
      </c>
      <c r="J45" s="108" t="s">
        <v>136</v>
      </c>
      <c r="K45" s="120">
        <f>G47/11</f>
        <v>4867.636363636364</v>
      </c>
    </row>
    <row r="46" spans="1:13" x14ac:dyDescent="0.3">
      <c r="B46"/>
      <c r="F46" s="90" t="s">
        <v>129</v>
      </c>
      <c r="G46" s="108">
        <v>758</v>
      </c>
      <c r="H46" s="90" t="s">
        <v>130</v>
      </c>
      <c r="I46" s="59">
        <v>110000</v>
      </c>
      <c r="J46" s="59" t="s">
        <v>134</v>
      </c>
      <c r="K46" s="115">
        <v>1470</v>
      </c>
    </row>
    <row r="47" spans="1:13" x14ac:dyDescent="0.3">
      <c r="F47" s="3" t="s">
        <v>132</v>
      </c>
      <c r="G47" s="5">
        <f>(G46*G45*2)+I45</f>
        <v>53544</v>
      </c>
      <c r="H47" s="3"/>
      <c r="I47" s="3"/>
      <c r="J47" s="3"/>
      <c r="K47" s="2"/>
    </row>
    <row r="48" spans="1:13" x14ac:dyDescent="0.3">
      <c r="F48" s="15" t="s">
        <v>87</v>
      </c>
      <c r="G48" s="107">
        <f>K45*8</f>
        <v>38941.090909090912</v>
      </c>
      <c r="H48" s="15"/>
      <c r="I48" s="15">
        <v>800000</v>
      </c>
      <c r="J48" s="15"/>
      <c r="K48" s="83">
        <v>1065</v>
      </c>
    </row>
    <row r="49" spans="3:11" x14ac:dyDescent="0.3">
      <c r="F49" s="15" t="s">
        <v>133</v>
      </c>
      <c r="G49" s="107">
        <f>K45*3</f>
        <v>14602.909090909092</v>
      </c>
      <c r="H49" s="15"/>
      <c r="I49" s="15">
        <v>300000</v>
      </c>
      <c r="J49" s="15"/>
      <c r="K49" s="83">
        <v>405</v>
      </c>
    </row>
    <row r="50" spans="3:11" x14ac:dyDescent="0.3">
      <c r="G50" s="106"/>
    </row>
    <row r="51" spans="3:11" x14ac:dyDescent="0.3">
      <c r="C51" s="6" t="s">
        <v>153</v>
      </c>
    </row>
    <row r="52" spans="3:11" x14ac:dyDescent="0.3">
      <c r="G52" s="106"/>
    </row>
    <row r="53" spans="3:11" x14ac:dyDescent="0.3">
      <c r="C53"/>
    </row>
    <row r="55" spans="3:11" x14ac:dyDescent="0.3">
      <c r="G55" s="39"/>
    </row>
    <row r="56" spans="3:11" x14ac:dyDescent="0.3">
      <c r="G56" s="39"/>
    </row>
    <row r="57" spans="3:11" x14ac:dyDescent="0.3">
      <c r="G57" s="14"/>
    </row>
    <row r="67" spans="6:6" x14ac:dyDescent="0.3">
      <c r="F67" s="39"/>
    </row>
  </sheetData>
  <mergeCells count="13">
    <mergeCell ref="B3:F3"/>
    <mergeCell ref="G3:I3"/>
    <mergeCell ref="J3:N3"/>
    <mergeCell ref="B1:F1"/>
    <mergeCell ref="H1:I1"/>
    <mergeCell ref="K1:L1"/>
    <mergeCell ref="B2:C2"/>
    <mergeCell ref="H2:I2"/>
    <mergeCell ref="A43:C43"/>
    <mergeCell ref="G14:I14"/>
    <mergeCell ref="H15:I15"/>
    <mergeCell ref="H16:I16"/>
    <mergeCell ref="G17:I17"/>
  </mergeCells>
  <conditionalFormatting sqref="K1:L1">
    <cfRule type="cellIs" dxfId="48" priority="2" operator="greaterThan">
      <formula>0</formula>
    </cfRule>
    <cfRule type="cellIs" dxfId="47" priority="3" operator="lessThan">
      <formula>0</formula>
    </cfRule>
  </conditionalFormatting>
  <conditionalFormatting sqref="L5">
    <cfRule type="duplicateValues" dxfId="46" priority="1"/>
  </conditionalFormatting>
  <conditionalFormatting sqref="L6:L22">
    <cfRule type="duplicateValues" dxfId="45" priority="4"/>
  </conditionalFormatting>
  <conditionalFormatting sqref="M5:M22">
    <cfRule type="duplicateValues" dxfId="44" priority="5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26BC-6338-4BBC-8AA9-B8BE45C58133}">
  <dimension ref="A1:N54"/>
  <sheetViews>
    <sheetView zoomScaleNormal="100" workbookViewId="0">
      <pane ySplit="1" topLeftCell="A24" activePane="bottomLeft" state="frozen"/>
      <selection pane="bottomLeft" activeCell="F33" sqref="F33:F39"/>
    </sheetView>
  </sheetViews>
  <sheetFormatPr defaultRowHeight="14.4" x14ac:dyDescent="0.3"/>
  <cols>
    <col min="1" max="1" width="2.5546875" style="1" customWidth="1"/>
    <col min="2" max="2" width="8.88671875" style="6"/>
    <col min="3" max="3" width="10.77734375" style="6" bestFit="1" customWidth="1"/>
    <col min="4" max="4" width="25.109375" style="1" customWidth="1"/>
    <col min="5" max="5" width="13.77734375" style="1" bestFit="1" customWidth="1"/>
    <col min="6" max="6" width="19.5546875" style="1" bestFit="1" customWidth="1"/>
    <col min="7" max="7" width="10.5546875" style="1" bestFit="1" customWidth="1"/>
    <col min="8" max="8" width="12.88671875" style="1" bestFit="1" customWidth="1"/>
    <col min="9" max="10" width="10.5546875" style="1" bestFit="1" customWidth="1"/>
    <col min="11" max="11" width="10.33203125" style="1" bestFit="1" customWidth="1"/>
    <col min="12" max="12" width="40" style="1" bestFit="1" customWidth="1"/>
    <col min="13" max="13" width="15.88671875" style="1" customWidth="1"/>
    <col min="14" max="14" width="22.5546875" style="1" customWidth="1"/>
    <col min="15" max="16384" width="8.88671875" style="1"/>
  </cols>
  <sheetData>
    <row r="1" spans="1:14" ht="16.2" thickBot="1" x14ac:dyDescent="0.35">
      <c r="A1" s="42"/>
      <c r="B1" s="186" t="s">
        <v>184</v>
      </c>
      <c r="C1" s="187"/>
      <c r="D1" s="187"/>
      <c r="E1" s="187"/>
      <c r="F1" s="188"/>
      <c r="G1" s="16" t="s">
        <v>25</v>
      </c>
      <c r="H1" s="176">
        <v>45714</v>
      </c>
      <c r="I1" s="177"/>
      <c r="J1" s="17" t="s">
        <v>15</v>
      </c>
      <c r="K1" s="189">
        <f>M2-E2</f>
        <v>405496</v>
      </c>
      <c r="L1" s="190"/>
      <c r="M1" s="18"/>
      <c r="N1" s="19"/>
    </row>
    <row r="2" spans="1:14" ht="15.6" x14ac:dyDescent="0.3">
      <c r="A2" s="41"/>
      <c r="B2" s="191"/>
      <c r="C2" s="192"/>
      <c r="D2" s="13" t="s">
        <v>14</v>
      </c>
      <c r="E2" s="12">
        <f>SUM(E5:E30)</f>
        <v>1386194</v>
      </c>
      <c r="F2" s="20"/>
      <c r="G2" s="31" t="s">
        <v>32</v>
      </c>
      <c r="H2" s="178" t="s">
        <v>259</v>
      </c>
      <c r="I2" s="193"/>
      <c r="J2" s="37"/>
      <c r="K2" s="10"/>
      <c r="L2" s="11" t="s">
        <v>14</v>
      </c>
      <c r="M2" s="12">
        <f>SUM(M5:M22)</f>
        <v>1791690</v>
      </c>
      <c r="N2" s="20"/>
    </row>
    <row r="3" spans="1:14" x14ac:dyDescent="0.3">
      <c r="B3" s="194" t="s">
        <v>36</v>
      </c>
      <c r="C3" s="195"/>
      <c r="D3" s="196"/>
      <c r="E3" s="196"/>
      <c r="F3" s="197"/>
      <c r="G3" s="180" t="s">
        <v>33</v>
      </c>
      <c r="H3" s="181"/>
      <c r="I3" s="181"/>
      <c r="J3" s="194" t="s">
        <v>37</v>
      </c>
      <c r="K3" s="195"/>
      <c r="L3" s="196"/>
      <c r="M3" s="196"/>
      <c r="N3" s="197"/>
    </row>
    <row r="4" spans="1:14" x14ac:dyDescent="0.3">
      <c r="A4" s="3"/>
      <c r="B4" s="40" t="s">
        <v>0</v>
      </c>
      <c r="C4" s="2" t="s">
        <v>3</v>
      </c>
      <c r="D4" s="3" t="s">
        <v>1</v>
      </c>
      <c r="E4" s="3" t="s">
        <v>13</v>
      </c>
      <c r="F4" s="22" t="s">
        <v>2</v>
      </c>
      <c r="G4" s="21" t="s">
        <v>3</v>
      </c>
      <c r="H4" s="99" t="s">
        <v>26</v>
      </c>
      <c r="I4" s="99" t="s">
        <v>32</v>
      </c>
      <c r="J4" s="40" t="s">
        <v>0</v>
      </c>
      <c r="K4" s="2" t="s">
        <v>3</v>
      </c>
      <c r="L4" s="3" t="s">
        <v>1</v>
      </c>
      <c r="M4" s="3" t="s">
        <v>13</v>
      </c>
      <c r="N4" s="22" t="s">
        <v>2</v>
      </c>
    </row>
    <row r="5" spans="1:14" x14ac:dyDescent="0.3">
      <c r="A5" s="15"/>
      <c r="B5" s="40">
        <v>1</v>
      </c>
      <c r="C5" s="7">
        <v>45714</v>
      </c>
      <c r="D5" s="26" t="s">
        <v>162</v>
      </c>
      <c r="E5" s="9">
        <v>257500</v>
      </c>
      <c r="F5" s="23" t="s">
        <v>159</v>
      </c>
      <c r="G5" s="43">
        <v>45765</v>
      </c>
      <c r="H5" s="44">
        <v>157</v>
      </c>
      <c r="I5" s="47" t="str">
        <f>IF(ISBLANK(G5),"",CONCATENATE(G5-$H$1+1," days"))</f>
        <v>52 days</v>
      </c>
      <c r="J5" s="21">
        <v>1</v>
      </c>
      <c r="K5" s="43">
        <v>45775</v>
      </c>
      <c r="L5" s="3" t="s">
        <v>165</v>
      </c>
      <c r="M5" s="5">
        <v>368280</v>
      </c>
      <c r="N5" s="22"/>
    </row>
    <row r="6" spans="1:14" x14ac:dyDescent="0.3">
      <c r="A6" s="15"/>
      <c r="B6" s="40">
        <v>2</v>
      </c>
      <c r="C6" s="7">
        <v>45743</v>
      </c>
      <c r="D6" s="8" t="s">
        <v>163</v>
      </c>
      <c r="E6" s="9">
        <v>35000</v>
      </c>
      <c r="F6" s="23" t="s">
        <v>164</v>
      </c>
      <c r="G6" s="43">
        <v>45775</v>
      </c>
      <c r="H6" s="44">
        <v>110</v>
      </c>
      <c r="I6" s="47" t="str">
        <f t="shared" ref="I6:I13" si="0">IF(ISBLANK(G6),"",CONCATENATE(G6-$H$1+1," days"))</f>
        <v>62 days</v>
      </c>
      <c r="J6" s="21">
        <v>2</v>
      </c>
      <c r="K6" s="4">
        <v>45787</v>
      </c>
      <c r="L6" s="3" t="s">
        <v>167</v>
      </c>
      <c r="M6" s="5">
        <v>571064</v>
      </c>
      <c r="N6" s="22"/>
    </row>
    <row r="7" spans="1:14" x14ac:dyDescent="0.3">
      <c r="A7" s="15"/>
      <c r="B7" s="40">
        <v>3</v>
      </c>
      <c r="C7" s="7">
        <v>45792</v>
      </c>
      <c r="D7" s="8" t="s">
        <v>166</v>
      </c>
      <c r="E7" s="9">
        <v>984721</v>
      </c>
      <c r="F7" s="23"/>
      <c r="G7" s="43">
        <v>45783</v>
      </c>
      <c r="H7" s="44">
        <v>86</v>
      </c>
      <c r="I7" s="47" t="str">
        <f t="shared" si="0"/>
        <v>70 days</v>
      </c>
      <c r="J7" s="21">
        <v>3</v>
      </c>
      <c r="K7" s="43">
        <v>45791</v>
      </c>
      <c r="L7" s="3" t="s">
        <v>171</v>
      </c>
      <c r="M7" s="5">
        <v>679140</v>
      </c>
      <c r="N7" s="22"/>
    </row>
    <row r="8" spans="1:14" x14ac:dyDescent="0.3">
      <c r="A8" s="15"/>
      <c r="B8" s="40">
        <v>4</v>
      </c>
      <c r="C8" s="7">
        <v>45792</v>
      </c>
      <c r="D8" s="8" t="s">
        <v>173</v>
      </c>
      <c r="E8" s="9">
        <v>108973</v>
      </c>
      <c r="F8" s="22"/>
      <c r="G8" s="43">
        <v>45787</v>
      </c>
      <c r="H8" s="44">
        <v>74</v>
      </c>
      <c r="I8" s="47" t="str">
        <f t="shared" si="0"/>
        <v>74 days</v>
      </c>
      <c r="J8" s="21">
        <v>4</v>
      </c>
      <c r="K8" s="43">
        <v>45791</v>
      </c>
      <c r="L8" s="3" t="s">
        <v>172</v>
      </c>
      <c r="M8" s="5">
        <v>173206</v>
      </c>
      <c r="N8" s="22"/>
    </row>
    <row r="9" spans="1:14" x14ac:dyDescent="0.3">
      <c r="A9" s="15"/>
      <c r="B9" s="40">
        <v>5</v>
      </c>
      <c r="C9" s="7"/>
      <c r="D9" s="3"/>
      <c r="E9" s="5"/>
      <c r="F9" s="22"/>
      <c r="G9" s="46">
        <v>45791</v>
      </c>
      <c r="H9" s="44">
        <v>67</v>
      </c>
      <c r="I9" s="47" t="str">
        <f t="shared" si="0"/>
        <v>78 days</v>
      </c>
      <c r="J9" s="21">
        <v>5</v>
      </c>
      <c r="K9" s="4"/>
      <c r="L9" s="3"/>
      <c r="M9" s="5"/>
      <c r="N9" s="22"/>
    </row>
    <row r="10" spans="1:14" x14ac:dyDescent="0.3">
      <c r="A10" s="15"/>
      <c r="B10" s="40">
        <v>6</v>
      </c>
      <c r="C10" s="7"/>
      <c r="D10" s="104">
        <v>900</v>
      </c>
      <c r="E10" s="5"/>
      <c r="F10" s="22"/>
      <c r="G10" s="46"/>
      <c r="H10" s="44"/>
      <c r="I10" s="47" t="str">
        <f t="shared" si="0"/>
        <v/>
      </c>
      <c r="J10" s="21">
        <v>6</v>
      </c>
      <c r="K10" s="2"/>
      <c r="L10" s="3"/>
      <c r="M10" s="5"/>
      <c r="N10" s="22"/>
    </row>
    <row r="11" spans="1:14" x14ac:dyDescent="0.3">
      <c r="A11" s="15"/>
      <c r="B11" s="40">
        <v>7</v>
      </c>
      <c r="C11" s="7"/>
      <c r="D11" s="104">
        <v>2400</v>
      </c>
      <c r="E11" s="5"/>
      <c r="F11" s="22"/>
      <c r="G11" s="46"/>
      <c r="H11" s="44"/>
      <c r="I11" s="47" t="str">
        <f t="shared" si="0"/>
        <v/>
      </c>
      <c r="J11" s="21">
        <v>7</v>
      </c>
      <c r="K11" s="2"/>
      <c r="L11" s="3"/>
      <c r="M11" s="5"/>
      <c r="N11" s="22"/>
    </row>
    <row r="12" spans="1:14" x14ac:dyDescent="0.3">
      <c r="A12" s="15"/>
      <c r="B12" s="40">
        <v>8</v>
      </c>
      <c r="C12" s="7"/>
      <c r="D12" s="104">
        <v>25261</v>
      </c>
      <c r="E12" s="5"/>
      <c r="F12" s="55"/>
      <c r="G12" s="46"/>
      <c r="H12" s="109"/>
      <c r="I12" s="121" t="str">
        <f t="shared" si="0"/>
        <v/>
      </c>
      <c r="J12" s="40">
        <v>8</v>
      </c>
      <c r="K12" s="2"/>
      <c r="L12" s="3"/>
      <c r="M12" s="5"/>
      <c r="N12" s="22"/>
    </row>
    <row r="13" spans="1:14" x14ac:dyDescent="0.3">
      <c r="A13" s="15"/>
      <c r="B13" s="40">
        <v>9</v>
      </c>
      <c r="C13" s="7"/>
      <c r="D13" s="104">
        <v>3360</v>
      </c>
      <c r="E13" s="5"/>
      <c r="F13" s="55"/>
      <c r="G13" s="46"/>
      <c r="H13" s="109"/>
      <c r="I13" s="121" t="str">
        <f t="shared" si="0"/>
        <v/>
      </c>
      <c r="J13" s="40">
        <v>9</v>
      </c>
      <c r="K13" s="2"/>
      <c r="L13" s="3"/>
      <c r="M13" s="5"/>
      <c r="N13" s="22"/>
    </row>
    <row r="14" spans="1:14" ht="15" thickBot="1" x14ac:dyDescent="0.35">
      <c r="A14" s="15"/>
      <c r="B14" s="40">
        <v>10</v>
      </c>
      <c r="C14" s="7"/>
      <c r="D14" s="104">
        <v>6000</v>
      </c>
      <c r="E14" s="5"/>
      <c r="F14" s="67"/>
      <c r="G14" s="173" t="s">
        <v>57</v>
      </c>
      <c r="H14" s="174"/>
      <c r="I14" s="175"/>
      <c r="J14" s="21">
        <v>10</v>
      </c>
      <c r="K14" s="2"/>
      <c r="L14" s="3"/>
      <c r="M14" s="5"/>
      <c r="N14" s="22"/>
    </row>
    <row r="15" spans="1:14" ht="15" thickBot="1" x14ac:dyDescent="0.35">
      <c r="A15" s="15"/>
      <c r="B15" s="40">
        <v>11</v>
      </c>
      <c r="C15" s="7"/>
      <c r="D15" s="104">
        <v>6000</v>
      </c>
      <c r="E15" s="5"/>
      <c r="F15" s="22"/>
      <c r="G15" s="16" t="s">
        <v>25</v>
      </c>
      <c r="H15" s="176">
        <v>45743</v>
      </c>
      <c r="I15" s="177"/>
      <c r="J15" s="21">
        <v>11</v>
      </c>
      <c r="K15" s="2"/>
      <c r="L15" s="3"/>
      <c r="M15" s="5"/>
      <c r="N15" s="22"/>
    </row>
    <row r="16" spans="1:14" x14ac:dyDescent="0.3">
      <c r="A16" s="15"/>
      <c r="B16" s="40">
        <v>12</v>
      </c>
      <c r="C16" s="7"/>
      <c r="D16" s="104">
        <v>4956</v>
      </c>
      <c r="E16" s="5"/>
      <c r="F16" s="22"/>
      <c r="G16" s="31" t="s">
        <v>32</v>
      </c>
      <c r="H16" s="178" t="s">
        <v>260</v>
      </c>
      <c r="I16" s="179"/>
      <c r="J16" s="21">
        <v>12</v>
      </c>
      <c r="K16" s="2"/>
      <c r="L16" s="3"/>
      <c r="M16" s="5"/>
      <c r="N16" s="22"/>
    </row>
    <row r="17" spans="1:14" x14ac:dyDescent="0.3">
      <c r="A17" s="15"/>
      <c r="B17" s="40">
        <v>13</v>
      </c>
      <c r="C17" s="7"/>
      <c r="D17" s="104">
        <v>5600</v>
      </c>
      <c r="E17" s="5"/>
      <c r="F17" s="22"/>
      <c r="G17" s="180" t="s">
        <v>33</v>
      </c>
      <c r="H17" s="181"/>
      <c r="I17" s="182"/>
      <c r="J17" s="21">
        <v>13</v>
      </c>
      <c r="K17" s="2"/>
      <c r="L17" s="3"/>
      <c r="M17" s="5"/>
      <c r="N17" s="22"/>
    </row>
    <row r="18" spans="1:14" x14ac:dyDescent="0.3">
      <c r="A18" s="15"/>
      <c r="B18" s="40">
        <v>14</v>
      </c>
      <c r="C18" s="7"/>
      <c r="D18" s="104">
        <v>3000</v>
      </c>
      <c r="E18" s="5"/>
      <c r="F18" s="22"/>
      <c r="G18" s="21" t="s">
        <v>3</v>
      </c>
      <c r="H18" s="2" t="s">
        <v>26</v>
      </c>
      <c r="I18" s="2" t="s">
        <v>32</v>
      </c>
      <c r="J18" s="40">
        <v>14</v>
      </c>
      <c r="K18" s="2"/>
      <c r="L18" s="3"/>
      <c r="M18" s="5"/>
      <c r="N18" s="22"/>
    </row>
    <row r="19" spans="1:14" x14ac:dyDescent="0.3">
      <c r="A19" s="15"/>
      <c r="B19" s="40">
        <v>15</v>
      </c>
      <c r="C19" s="7"/>
      <c r="D19" s="104">
        <v>26577</v>
      </c>
      <c r="E19" s="5"/>
      <c r="F19" s="22"/>
      <c r="G19" s="43">
        <v>45783</v>
      </c>
      <c r="H19" s="44">
        <v>132</v>
      </c>
      <c r="I19" s="47" t="str">
        <f>IF(ISBLANK(G19),"",CONCATENATE(G19-$H$15+1," days"))</f>
        <v>41 days</v>
      </c>
      <c r="J19" s="21">
        <v>15</v>
      </c>
      <c r="K19" s="2"/>
      <c r="L19" s="3"/>
      <c r="M19" s="5"/>
      <c r="N19" s="22"/>
    </row>
    <row r="20" spans="1:14" x14ac:dyDescent="0.3">
      <c r="A20" s="15"/>
      <c r="B20" s="40">
        <v>16</v>
      </c>
      <c r="C20" s="4"/>
      <c r="D20" s="104">
        <v>24919</v>
      </c>
      <c r="E20" s="5"/>
      <c r="F20" s="22"/>
      <c r="G20" s="43">
        <v>45791</v>
      </c>
      <c r="H20" s="44">
        <v>102</v>
      </c>
      <c r="I20" s="47" t="str">
        <f t="shared" ref="I20:I25" si="1">IF(ISBLANK(G20),"",CONCATENATE(G20-$H$15+1," days"))</f>
        <v>49 days</v>
      </c>
      <c r="J20" s="21">
        <v>16</v>
      </c>
      <c r="K20" s="2"/>
      <c r="L20" s="3"/>
      <c r="M20" s="5"/>
      <c r="N20" s="22"/>
    </row>
    <row r="21" spans="1:14" x14ac:dyDescent="0.3">
      <c r="A21" s="15"/>
      <c r="B21" s="40">
        <v>17</v>
      </c>
      <c r="C21" s="4"/>
      <c r="D21" s="104"/>
      <c r="E21" s="5"/>
      <c r="F21" s="22"/>
      <c r="G21" s="43"/>
      <c r="H21" s="44"/>
      <c r="I21" s="47" t="str">
        <f t="shared" si="1"/>
        <v/>
      </c>
      <c r="J21" s="21">
        <v>17</v>
      </c>
      <c r="K21" s="2"/>
      <c r="L21" s="3"/>
      <c r="M21" s="5"/>
      <c r="N21" s="22"/>
    </row>
    <row r="22" spans="1:14" x14ac:dyDescent="0.3">
      <c r="A22" s="15"/>
      <c r="B22" s="40">
        <v>18</v>
      </c>
      <c r="C22" s="4"/>
      <c r="D22" s="15"/>
      <c r="E22" s="5"/>
      <c r="F22" s="22"/>
      <c r="G22" s="46"/>
      <c r="H22" s="44"/>
      <c r="I22" s="47" t="str">
        <f t="shared" si="1"/>
        <v/>
      </c>
      <c r="J22" s="21">
        <v>18</v>
      </c>
      <c r="K22" s="2"/>
      <c r="L22" s="3"/>
      <c r="M22" s="5"/>
      <c r="N22" s="22"/>
    </row>
    <row r="23" spans="1:14" x14ac:dyDescent="0.3">
      <c r="A23" s="15"/>
      <c r="B23" s="40">
        <v>19</v>
      </c>
      <c r="C23" s="4"/>
      <c r="D23" s="3"/>
      <c r="E23" s="5"/>
      <c r="F23" s="22"/>
      <c r="G23" s="34"/>
      <c r="H23" s="44"/>
      <c r="I23" s="47" t="str">
        <f t="shared" si="1"/>
        <v/>
      </c>
      <c r="J23" s="21">
        <v>19</v>
      </c>
      <c r="K23" s="15"/>
      <c r="L23" s="15"/>
      <c r="M23" s="15"/>
      <c r="N23" s="33"/>
    </row>
    <row r="24" spans="1:14" x14ac:dyDescent="0.3">
      <c r="A24" s="15"/>
      <c r="B24" s="40">
        <v>20</v>
      </c>
      <c r="C24" s="4"/>
      <c r="D24" s="3"/>
      <c r="E24" s="5"/>
      <c r="F24" s="22"/>
      <c r="G24" s="34"/>
      <c r="H24" s="44"/>
      <c r="I24" s="47" t="str">
        <f t="shared" si="1"/>
        <v/>
      </c>
      <c r="J24" s="21">
        <v>20</v>
      </c>
      <c r="K24" s="15"/>
      <c r="L24" s="15"/>
      <c r="M24" s="15"/>
      <c r="N24" s="33"/>
    </row>
    <row r="25" spans="1:14" x14ac:dyDescent="0.3">
      <c r="A25" s="15"/>
      <c r="B25" s="40">
        <v>21</v>
      </c>
      <c r="C25" s="4"/>
      <c r="D25" s="3"/>
      <c r="E25" s="5"/>
      <c r="F25" s="22"/>
      <c r="G25" s="34"/>
      <c r="H25" s="44"/>
      <c r="I25" s="47" t="str">
        <f t="shared" si="1"/>
        <v/>
      </c>
      <c r="J25" s="21">
        <v>21</v>
      </c>
      <c r="K25" s="15"/>
      <c r="L25" s="15"/>
      <c r="M25" s="15"/>
      <c r="N25" s="33"/>
    </row>
    <row r="26" spans="1:14" x14ac:dyDescent="0.3">
      <c r="A26" s="15"/>
      <c r="B26" s="40">
        <v>22</v>
      </c>
      <c r="C26" s="4"/>
      <c r="D26" s="3"/>
      <c r="E26" s="5"/>
      <c r="F26" s="22"/>
      <c r="G26" s="34"/>
      <c r="H26" s="44"/>
      <c r="I26" s="47"/>
      <c r="J26" s="21">
        <v>22</v>
      </c>
      <c r="K26" s="15"/>
      <c r="L26" s="15"/>
      <c r="M26" s="15"/>
      <c r="N26" s="33"/>
    </row>
    <row r="27" spans="1:14" x14ac:dyDescent="0.3">
      <c r="A27" s="15"/>
      <c r="B27" s="40">
        <v>23</v>
      </c>
      <c r="C27" s="4"/>
      <c r="D27" s="3"/>
      <c r="E27" s="5"/>
      <c r="F27" s="22"/>
      <c r="G27" s="34"/>
      <c r="H27" s="44"/>
      <c r="I27" s="47"/>
      <c r="J27" s="21">
        <v>23</v>
      </c>
      <c r="K27" s="15"/>
      <c r="L27" s="15"/>
      <c r="M27" s="15"/>
      <c r="N27" s="33"/>
    </row>
    <row r="28" spans="1:14" x14ac:dyDescent="0.3">
      <c r="A28" s="15"/>
      <c r="B28" s="40">
        <v>24</v>
      </c>
      <c r="C28" s="4"/>
      <c r="D28" s="3"/>
      <c r="E28" s="5"/>
      <c r="F28" s="22"/>
      <c r="G28" s="34"/>
      <c r="H28" s="44"/>
      <c r="I28" s="47"/>
      <c r="J28" s="21">
        <v>24</v>
      </c>
      <c r="K28" s="15"/>
      <c r="L28" s="15"/>
      <c r="M28" s="15"/>
      <c r="N28" s="33"/>
    </row>
    <row r="29" spans="1:14" x14ac:dyDescent="0.3">
      <c r="A29" s="68"/>
      <c r="B29" s="40">
        <v>25</v>
      </c>
      <c r="C29" s="69"/>
      <c r="D29" s="70"/>
      <c r="E29" s="71"/>
      <c r="F29" s="72"/>
      <c r="G29" s="73"/>
      <c r="H29" s="74"/>
      <c r="I29" s="75"/>
      <c r="J29" s="21">
        <v>25</v>
      </c>
      <c r="K29" s="68"/>
      <c r="L29" s="68"/>
      <c r="M29" s="68"/>
      <c r="N29" s="76"/>
    </row>
    <row r="30" spans="1:14" ht="15" thickBot="1" x14ac:dyDescent="0.35">
      <c r="A30" s="38"/>
      <c r="B30" s="77"/>
      <c r="C30" s="27"/>
      <c r="D30" s="28"/>
      <c r="E30" s="61"/>
      <c r="F30" s="62"/>
      <c r="G30" s="35"/>
      <c r="H30" s="45"/>
      <c r="I30" s="49"/>
      <c r="J30" s="35"/>
      <c r="K30" s="38"/>
      <c r="L30" s="68"/>
      <c r="M30" s="68"/>
      <c r="N30" s="36"/>
    </row>
    <row r="31" spans="1:14" x14ac:dyDescent="0.3">
      <c r="B31" s="24"/>
      <c r="C31" s="25"/>
      <c r="E31" s="64" t="s">
        <v>65</v>
      </c>
      <c r="F31" s="84">
        <v>850000</v>
      </c>
      <c r="G31" s="90" t="s">
        <v>186</v>
      </c>
      <c r="H31" s="125">
        <v>900000</v>
      </c>
      <c r="I31" s="59" t="s">
        <v>187</v>
      </c>
      <c r="J31" s="125">
        <v>150000</v>
      </c>
      <c r="L31" s="125"/>
      <c r="M31" s="96"/>
    </row>
    <row r="32" spans="1:14" x14ac:dyDescent="0.3">
      <c r="E32" s="59" t="s">
        <v>62</v>
      </c>
      <c r="F32" s="90" t="s">
        <v>54</v>
      </c>
      <c r="G32" s="90" t="s">
        <v>26</v>
      </c>
      <c r="H32" s="90" t="s">
        <v>95</v>
      </c>
      <c r="I32" s="90" t="s">
        <v>63</v>
      </c>
      <c r="J32" s="90" t="s">
        <v>64</v>
      </c>
      <c r="K32" s="90"/>
      <c r="L32" s="115" t="s">
        <v>158</v>
      </c>
      <c r="M32" s="115"/>
    </row>
    <row r="33" spans="1:13" x14ac:dyDescent="0.3">
      <c r="E33" s="15" t="s">
        <v>55</v>
      </c>
      <c r="F33" s="57">
        <f>H33*G33</f>
        <v>184140</v>
      </c>
      <c r="G33" s="57">
        <v>110</v>
      </c>
      <c r="H33" s="65">
        <v>1674</v>
      </c>
      <c r="I33" s="60">
        <v>220</v>
      </c>
      <c r="J33" s="137">
        <f>H33*I33</f>
        <v>368280</v>
      </c>
      <c r="K33" s="137"/>
      <c r="L33" s="83" t="s">
        <v>169</v>
      </c>
      <c r="M33" s="60">
        <v>400000</v>
      </c>
    </row>
    <row r="34" spans="1:13" x14ac:dyDescent="0.3">
      <c r="E34" s="15" t="s">
        <v>56</v>
      </c>
      <c r="F34" s="57">
        <f t="shared" ref="F34:F39" si="2">H34*G34</f>
        <v>160337.20000000001</v>
      </c>
      <c r="G34" s="57">
        <v>73</v>
      </c>
      <c r="H34" s="65">
        <v>2196.4</v>
      </c>
      <c r="I34" s="60">
        <v>260</v>
      </c>
      <c r="J34" s="137">
        <f t="shared" ref="J34:J39" si="3">H34*I34</f>
        <v>571064</v>
      </c>
      <c r="K34" s="137"/>
      <c r="L34" s="83" t="s">
        <v>174</v>
      </c>
      <c r="M34" s="60">
        <v>200000</v>
      </c>
    </row>
    <row r="35" spans="1:13" x14ac:dyDescent="0.3">
      <c r="C35" s="122"/>
      <c r="E35" s="15" t="s">
        <v>168</v>
      </c>
      <c r="F35" s="57">
        <f t="shared" si="2"/>
        <v>162508.5</v>
      </c>
      <c r="G35" s="57">
        <v>67</v>
      </c>
      <c r="H35" s="65">
        <v>2425.5</v>
      </c>
      <c r="I35" s="60">
        <v>280</v>
      </c>
      <c r="J35" s="137">
        <f t="shared" si="3"/>
        <v>679140</v>
      </c>
      <c r="K35" s="137"/>
      <c r="L35" s="83" t="s">
        <v>175</v>
      </c>
      <c r="M35" s="60">
        <v>250000</v>
      </c>
    </row>
    <row r="36" spans="1:13" x14ac:dyDescent="0.3">
      <c r="E36" s="15" t="s">
        <v>57</v>
      </c>
      <c r="F36" s="57">
        <f t="shared" si="2"/>
        <v>80304.599999999991</v>
      </c>
      <c r="G36" s="57">
        <v>102</v>
      </c>
      <c r="H36" s="65">
        <v>787.3</v>
      </c>
      <c r="I36" s="60">
        <v>220</v>
      </c>
      <c r="J36" s="137">
        <f t="shared" si="3"/>
        <v>173206</v>
      </c>
      <c r="K36" s="137"/>
      <c r="L36" s="83" t="s">
        <v>176</v>
      </c>
      <c r="M36" s="60">
        <v>985721</v>
      </c>
    </row>
    <row r="37" spans="1:13" x14ac:dyDescent="0.3">
      <c r="E37" s="15"/>
      <c r="F37" s="57">
        <v>0</v>
      </c>
      <c r="G37" s="57"/>
      <c r="H37" s="65"/>
      <c r="I37" s="60"/>
      <c r="J37" s="137">
        <f t="shared" si="3"/>
        <v>0</v>
      </c>
      <c r="K37" s="137"/>
      <c r="L37" s="83"/>
      <c r="M37" s="60"/>
    </row>
    <row r="38" spans="1:13" x14ac:dyDescent="0.3">
      <c r="E38" s="15"/>
      <c r="F38" s="57">
        <f t="shared" si="2"/>
        <v>0</v>
      </c>
      <c r="G38" s="57"/>
      <c r="H38" s="65"/>
      <c r="I38" s="60"/>
      <c r="J38" s="137">
        <f t="shared" si="3"/>
        <v>0</v>
      </c>
      <c r="K38" s="137"/>
      <c r="L38" s="83"/>
      <c r="M38" s="60"/>
    </row>
    <row r="39" spans="1:13" x14ac:dyDescent="0.3">
      <c r="E39" s="15"/>
      <c r="F39" s="57">
        <f t="shared" si="2"/>
        <v>0</v>
      </c>
      <c r="G39" s="57"/>
      <c r="H39" s="65"/>
      <c r="I39" s="60"/>
      <c r="J39" s="137">
        <f t="shared" si="3"/>
        <v>0</v>
      </c>
      <c r="K39" s="137"/>
      <c r="L39" s="83"/>
      <c r="M39" s="60"/>
    </row>
    <row r="40" spans="1:13" x14ac:dyDescent="0.3">
      <c r="E40" s="50" t="s">
        <v>61</v>
      </c>
      <c r="F40" s="58">
        <f>SUM(F33:F38)</f>
        <v>587290.30000000005</v>
      </c>
      <c r="G40" s="58"/>
      <c r="H40" s="82">
        <f>SUM(H33:H39)</f>
        <v>7083.2</v>
      </c>
      <c r="I40" s="50"/>
      <c r="J40" s="138">
        <f>SUM(J33:J39)</f>
        <v>1791690</v>
      </c>
      <c r="K40" s="138"/>
      <c r="L40" s="50" t="s">
        <v>88</v>
      </c>
      <c r="M40" s="5">
        <f>SUM(M33:M39)</f>
        <v>1835721</v>
      </c>
    </row>
    <row r="41" spans="1:13" ht="15" thickBot="1" x14ac:dyDescent="0.35">
      <c r="E41" s="50" t="s">
        <v>126</v>
      </c>
      <c r="F41" s="105" t="str">
        <f>CONCATENATE(ROUND((F40/F31)*100,2),"%")</f>
        <v>69.09%</v>
      </c>
      <c r="G41" s="15"/>
      <c r="H41" s="56"/>
      <c r="I41" s="15"/>
      <c r="J41" s="83"/>
      <c r="K41" s="83"/>
      <c r="L41" s="81" t="s">
        <v>89</v>
      </c>
      <c r="M41" s="101">
        <f>J40-M40</f>
        <v>-44031</v>
      </c>
    </row>
    <row r="42" spans="1:13" x14ac:dyDescent="0.3">
      <c r="D42" s="39"/>
      <c r="L42" s="66"/>
      <c r="M42" s="39"/>
    </row>
    <row r="43" spans="1:13" x14ac:dyDescent="0.3">
      <c r="A43" s="172" t="s">
        <v>108</v>
      </c>
      <c r="B43" s="172"/>
      <c r="C43" s="172"/>
      <c r="D43" s="57"/>
      <c r="E43" s="15"/>
      <c r="F43" s="3" t="e">
        <f>D43/E43</f>
        <v>#DIV/0!</v>
      </c>
      <c r="G43" s="5" t="e">
        <f>F43*265</f>
        <v>#DIV/0!</v>
      </c>
      <c r="H43" s="97"/>
      <c r="I43" s="15"/>
      <c r="J43" s="15"/>
      <c r="K43" s="5"/>
      <c r="L43" s="15"/>
      <c r="M43" s="15"/>
    </row>
    <row r="44" spans="1:13" x14ac:dyDescent="0.3">
      <c r="D44" s="39"/>
      <c r="F44" s="26"/>
      <c r="G44" s="26"/>
      <c r="H44" s="26"/>
      <c r="I44" s="26"/>
      <c r="J44" s="26"/>
      <c r="K44" s="26"/>
    </row>
    <row r="54" spans="6:6" x14ac:dyDescent="0.3">
      <c r="F54" s="39"/>
    </row>
  </sheetData>
  <mergeCells count="13">
    <mergeCell ref="A43:C43"/>
    <mergeCell ref="G14:I14"/>
    <mergeCell ref="H15:I15"/>
    <mergeCell ref="H16:I16"/>
    <mergeCell ref="G17:I17"/>
    <mergeCell ref="B3:F3"/>
    <mergeCell ref="G3:I3"/>
    <mergeCell ref="J3:N3"/>
    <mergeCell ref="B1:F1"/>
    <mergeCell ref="H1:I1"/>
    <mergeCell ref="K1:L1"/>
    <mergeCell ref="B2:C2"/>
    <mergeCell ref="H2:I2"/>
  </mergeCells>
  <conditionalFormatting sqref="K1:L1">
    <cfRule type="cellIs" dxfId="43" priority="2" operator="greaterThan">
      <formula>0</formula>
    </cfRule>
    <cfRule type="cellIs" dxfId="42" priority="3" operator="lessThan">
      <formula>0</formula>
    </cfRule>
  </conditionalFormatting>
  <conditionalFormatting sqref="L5">
    <cfRule type="duplicateValues" dxfId="41" priority="1"/>
  </conditionalFormatting>
  <conditionalFormatting sqref="L6:L22">
    <cfRule type="duplicateValues" dxfId="40" priority="4"/>
  </conditionalFormatting>
  <conditionalFormatting sqref="M5:M22">
    <cfRule type="duplicateValues" dxfId="39" priority="5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18ED2-6372-4138-81BF-D827AE5BAE54}">
  <dimension ref="B1:N56"/>
  <sheetViews>
    <sheetView topLeftCell="D1" zoomScaleNormal="100" workbookViewId="0">
      <pane ySplit="1" topLeftCell="A21" activePane="bottomLeft" state="frozen"/>
      <selection pane="bottomLeft" activeCell="F31" sqref="F31"/>
    </sheetView>
  </sheetViews>
  <sheetFormatPr defaultRowHeight="14.4" x14ac:dyDescent="0.3"/>
  <cols>
    <col min="1" max="1" width="1.6640625" style="1" customWidth="1"/>
    <col min="2" max="2" width="3" style="6" bestFit="1" customWidth="1"/>
    <col min="3" max="3" width="10.77734375" style="6" bestFit="1" customWidth="1"/>
    <col min="4" max="4" width="18.21875" style="1" bestFit="1" customWidth="1"/>
    <col min="5" max="5" width="21.6640625" style="1" bestFit="1" customWidth="1"/>
    <col min="6" max="6" width="25" style="1" bestFit="1" customWidth="1"/>
    <col min="7" max="7" width="10.33203125" style="1" bestFit="1" customWidth="1"/>
    <col min="8" max="8" width="14.77734375" style="1" bestFit="1" customWidth="1"/>
    <col min="9" max="9" width="9.77734375" style="1" customWidth="1"/>
    <col min="10" max="10" width="8.33203125" style="1" customWidth="1"/>
    <col min="11" max="11" width="10.33203125" style="1" bestFit="1" customWidth="1"/>
    <col min="12" max="12" width="40" style="1" bestFit="1" customWidth="1"/>
    <col min="13" max="13" width="15.88671875" style="1" customWidth="1"/>
    <col min="14" max="14" width="22.5546875" style="1" customWidth="1"/>
    <col min="15" max="16384" width="8.88671875" style="1"/>
  </cols>
  <sheetData>
    <row r="1" spans="2:14" ht="16.2" thickBot="1" x14ac:dyDescent="0.35">
      <c r="B1" s="186" t="s">
        <v>185</v>
      </c>
      <c r="C1" s="187"/>
      <c r="D1" s="187"/>
      <c r="E1" s="187"/>
      <c r="F1" s="188"/>
      <c r="G1" s="16" t="s">
        <v>25</v>
      </c>
      <c r="H1" s="176">
        <v>45840</v>
      </c>
      <c r="I1" s="177"/>
      <c r="J1" s="17" t="s">
        <v>15</v>
      </c>
      <c r="K1" s="189">
        <f>M2-E2</f>
        <v>1125929.5</v>
      </c>
      <c r="L1" s="190"/>
      <c r="M1" s="18"/>
      <c r="N1" s="19"/>
    </row>
    <row r="2" spans="2:14" ht="15.6" x14ac:dyDescent="0.3">
      <c r="B2" s="191"/>
      <c r="C2" s="192"/>
      <c r="D2" s="13" t="s">
        <v>14</v>
      </c>
      <c r="E2" s="12">
        <f>SUM(E5:E30)</f>
        <v>1410000</v>
      </c>
      <c r="F2" s="20"/>
      <c r="G2" s="31" t="s">
        <v>32</v>
      </c>
      <c r="H2" s="178" t="s">
        <v>261</v>
      </c>
      <c r="I2" s="193"/>
      <c r="J2" s="37"/>
      <c r="K2" s="10"/>
      <c r="L2" s="11" t="s">
        <v>14</v>
      </c>
      <c r="M2" s="12">
        <f>SUM(M5:M22)</f>
        <v>2535929.5</v>
      </c>
      <c r="N2" s="20"/>
    </row>
    <row r="3" spans="2:14" x14ac:dyDescent="0.3">
      <c r="B3" s="194" t="s">
        <v>36</v>
      </c>
      <c r="C3" s="195"/>
      <c r="D3" s="196"/>
      <c r="E3" s="196"/>
      <c r="F3" s="197"/>
      <c r="G3" s="180" t="s">
        <v>33</v>
      </c>
      <c r="H3" s="181"/>
      <c r="I3" s="181"/>
      <c r="J3" s="194" t="s">
        <v>37</v>
      </c>
      <c r="K3" s="195"/>
      <c r="L3" s="196"/>
      <c r="M3" s="196"/>
      <c r="N3" s="197"/>
    </row>
    <row r="4" spans="2:14" x14ac:dyDescent="0.3">
      <c r="B4" s="40" t="s">
        <v>0</v>
      </c>
      <c r="C4" s="2" t="s">
        <v>3</v>
      </c>
      <c r="D4" s="3" t="s">
        <v>1</v>
      </c>
      <c r="E4" s="3" t="s">
        <v>13</v>
      </c>
      <c r="F4" s="22" t="s">
        <v>2</v>
      </c>
      <c r="G4" s="21" t="s">
        <v>3</v>
      </c>
      <c r="H4" s="99" t="s">
        <v>26</v>
      </c>
      <c r="I4" s="99" t="s">
        <v>32</v>
      </c>
      <c r="J4" s="40" t="s">
        <v>0</v>
      </c>
      <c r="K4" s="2" t="s">
        <v>3</v>
      </c>
      <c r="L4" s="3" t="s">
        <v>1</v>
      </c>
      <c r="M4" s="3" t="s">
        <v>13</v>
      </c>
      <c r="N4" s="22" t="s">
        <v>2</v>
      </c>
    </row>
    <row r="5" spans="2:14" x14ac:dyDescent="0.3">
      <c r="B5" s="40">
        <v>1</v>
      </c>
      <c r="C5" s="7">
        <v>45840</v>
      </c>
      <c r="D5" s="26" t="s">
        <v>162</v>
      </c>
      <c r="E5" s="9">
        <v>300000</v>
      </c>
      <c r="F5" s="23" t="s">
        <v>222</v>
      </c>
      <c r="G5" s="43">
        <v>45884</v>
      </c>
      <c r="H5" s="44">
        <v>135</v>
      </c>
      <c r="I5" s="47" t="str">
        <f>IF(ISBLANK(G5),"",CONCATENATE(G5-$H$1+1," days"))</f>
        <v>45 days</v>
      </c>
      <c r="J5" s="21">
        <v>1</v>
      </c>
      <c r="K5" s="43">
        <v>45893</v>
      </c>
      <c r="L5" s="3" t="s">
        <v>188</v>
      </c>
      <c r="M5" s="5">
        <v>521040</v>
      </c>
      <c r="N5" s="22"/>
    </row>
    <row r="6" spans="2:14" x14ac:dyDescent="0.3">
      <c r="B6" s="40">
        <v>2</v>
      </c>
      <c r="C6" s="7"/>
      <c r="D6" s="3" t="s">
        <v>173</v>
      </c>
      <c r="E6" s="5">
        <v>160000</v>
      </c>
      <c r="F6" s="23"/>
      <c r="G6" s="43">
        <v>45889</v>
      </c>
      <c r="H6" s="44">
        <v>120</v>
      </c>
      <c r="I6" s="47" t="str">
        <f t="shared" ref="I6:I13" si="0">IF(ISBLANK(G6),"",CONCATENATE(G6-$H$1+1," days"))</f>
        <v>50 days</v>
      </c>
      <c r="J6" s="21">
        <v>2</v>
      </c>
      <c r="K6" s="4">
        <v>45900</v>
      </c>
      <c r="L6" s="3" t="s">
        <v>193</v>
      </c>
      <c r="M6" s="5">
        <v>756496</v>
      </c>
      <c r="N6" s="22"/>
    </row>
    <row r="7" spans="2:14" x14ac:dyDescent="0.3">
      <c r="B7" s="40">
        <v>3</v>
      </c>
      <c r="C7" s="7"/>
      <c r="D7" s="3" t="s">
        <v>194</v>
      </c>
      <c r="E7" s="5">
        <v>920000</v>
      </c>
      <c r="F7" s="23"/>
      <c r="G7" s="43">
        <v>45893</v>
      </c>
      <c r="H7" s="44">
        <v>98</v>
      </c>
      <c r="I7" s="47" t="str">
        <f t="shared" si="0"/>
        <v>54 days</v>
      </c>
      <c r="J7" s="21">
        <v>3</v>
      </c>
      <c r="K7" s="4">
        <v>45901</v>
      </c>
      <c r="L7" s="3" t="s">
        <v>198</v>
      </c>
      <c r="M7" s="5">
        <v>940405.5</v>
      </c>
      <c r="N7" s="22" t="s">
        <v>196</v>
      </c>
    </row>
    <row r="8" spans="2:14" x14ac:dyDescent="0.3">
      <c r="B8" s="40">
        <v>4</v>
      </c>
      <c r="C8" s="7"/>
      <c r="D8" s="3" t="s">
        <v>197</v>
      </c>
      <c r="E8" s="5">
        <v>30000</v>
      </c>
      <c r="F8" s="22"/>
      <c r="G8" s="43">
        <v>45899</v>
      </c>
      <c r="H8" s="44">
        <v>78</v>
      </c>
      <c r="I8" s="47" t="str">
        <f t="shared" si="0"/>
        <v>60 days</v>
      </c>
      <c r="J8" s="21">
        <v>4</v>
      </c>
      <c r="K8" s="4">
        <v>45912</v>
      </c>
      <c r="L8" s="3" t="s">
        <v>204</v>
      </c>
      <c r="M8" s="5">
        <v>317988</v>
      </c>
      <c r="N8" s="22"/>
    </row>
    <row r="9" spans="2:14" x14ac:dyDescent="0.3">
      <c r="B9" s="40">
        <v>5</v>
      </c>
      <c r="C9" s="127"/>
      <c r="D9" s="15"/>
      <c r="E9" s="15"/>
      <c r="F9" s="22"/>
      <c r="G9" s="46">
        <v>45900</v>
      </c>
      <c r="H9" s="44">
        <v>81</v>
      </c>
      <c r="I9" s="47" t="str">
        <f t="shared" si="0"/>
        <v>61 days</v>
      </c>
      <c r="J9" s="21">
        <v>5</v>
      </c>
      <c r="K9" s="4"/>
      <c r="L9" s="3"/>
      <c r="M9" s="5"/>
      <c r="N9" s="22"/>
    </row>
    <row r="10" spans="2:14" x14ac:dyDescent="0.3">
      <c r="B10" s="40">
        <v>6</v>
      </c>
      <c r="C10" s="127"/>
      <c r="D10" s="15"/>
      <c r="E10" s="15"/>
      <c r="F10" s="22"/>
      <c r="G10" s="46">
        <v>45901</v>
      </c>
      <c r="H10" s="44">
        <v>79</v>
      </c>
      <c r="I10" s="47" t="str">
        <f t="shared" si="0"/>
        <v>62 days</v>
      </c>
      <c r="J10" s="21">
        <v>6</v>
      </c>
      <c r="K10" s="2"/>
      <c r="L10" s="3"/>
      <c r="M10" s="5"/>
      <c r="N10" s="22"/>
    </row>
    <row r="11" spans="2:14" x14ac:dyDescent="0.3">
      <c r="B11" s="40">
        <v>7</v>
      </c>
      <c r="D11" s="15"/>
      <c r="E11" s="15"/>
      <c r="F11" s="22"/>
      <c r="G11" s="46"/>
      <c r="H11" s="44"/>
      <c r="I11" s="47" t="str">
        <f t="shared" si="0"/>
        <v/>
      </c>
      <c r="J11" s="21">
        <v>7</v>
      </c>
      <c r="K11" s="2"/>
      <c r="L11" s="3"/>
      <c r="M11" s="5"/>
      <c r="N11" s="22"/>
    </row>
    <row r="12" spans="2:14" x14ac:dyDescent="0.3">
      <c r="B12" s="40">
        <v>8</v>
      </c>
      <c r="C12" s="7"/>
      <c r="D12" s="3"/>
      <c r="E12" s="5"/>
      <c r="F12" s="55"/>
      <c r="G12" s="46"/>
      <c r="H12" s="109"/>
      <c r="I12" s="121" t="str">
        <f t="shared" si="0"/>
        <v/>
      </c>
      <c r="J12" s="40">
        <v>8</v>
      </c>
      <c r="K12" s="2"/>
      <c r="L12" s="3"/>
      <c r="M12" s="5"/>
      <c r="N12" s="22"/>
    </row>
    <row r="13" spans="2:14" x14ac:dyDescent="0.3">
      <c r="B13" s="40">
        <v>9</v>
      </c>
      <c r="C13" s="7"/>
      <c r="D13" s="3"/>
      <c r="E13" s="5"/>
      <c r="F13" s="55"/>
      <c r="G13" s="46"/>
      <c r="H13" s="109"/>
      <c r="I13" s="121" t="str">
        <f t="shared" si="0"/>
        <v/>
      </c>
      <c r="J13" s="40">
        <v>9</v>
      </c>
      <c r="K13" s="2"/>
      <c r="L13" s="3"/>
      <c r="M13" s="5"/>
      <c r="N13" s="22"/>
    </row>
    <row r="14" spans="2:14" ht="15" thickBot="1" x14ac:dyDescent="0.35">
      <c r="B14" s="40">
        <v>10</v>
      </c>
      <c r="C14" s="7"/>
      <c r="D14" s="3"/>
      <c r="E14" s="5"/>
      <c r="F14" s="67"/>
      <c r="G14" s="173" t="s">
        <v>57</v>
      </c>
      <c r="H14" s="174"/>
      <c r="I14" s="175"/>
      <c r="J14" s="21">
        <v>10</v>
      </c>
      <c r="K14" s="2"/>
      <c r="L14" s="3"/>
      <c r="M14" s="5"/>
      <c r="N14" s="22"/>
    </row>
    <row r="15" spans="2:14" ht="15" thickBot="1" x14ac:dyDescent="0.35">
      <c r="B15" s="40">
        <v>11</v>
      </c>
      <c r="C15" s="7"/>
      <c r="D15" s="3"/>
      <c r="E15" s="5"/>
      <c r="F15" s="22"/>
      <c r="G15" s="16" t="s">
        <v>25</v>
      </c>
      <c r="H15" s="176">
        <v>45840</v>
      </c>
      <c r="I15" s="177"/>
      <c r="J15" s="21">
        <v>11</v>
      </c>
      <c r="K15" s="2"/>
      <c r="L15" s="3"/>
      <c r="M15" s="5"/>
      <c r="N15" s="22"/>
    </row>
    <row r="16" spans="2:14" x14ac:dyDescent="0.3">
      <c r="B16" s="40">
        <v>12</v>
      </c>
      <c r="C16" s="7"/>
      <c r="D16" s="3"/>
      <c r="E16" s="5"/>
      <c r="F16" s="22"/>
      <c r="G16" s="31" t="s">
        <v>32</v>
      </c>
      <c r="H16" s="178" t="s">
        <v>203</v>
      </c>
      <c r="I16" s="179"/>
      <c r="J16" s="21">
        <v>12</v>
      </c>
      <c r="K16" s="2"/>
      <c r="L16" s="3"/>
      <c r="M16" s="5"/>
      <c r="N16" s="22"/>
    </row>
    <row r="17" spans="2:14" x14ac:dyDescent="0.3">
      <c r="B17" s="40">
        <v>13</v>
      </c>
      <c r="C17" s="7"/>
      <c r="D17" s="3"/>
      <c r="E17" s="5"/>
      <c r="F17" s="22"/>
      <c r="G17" s="180" t="s">
        <v>33</v>
      </c>
      <c r="H17" s="181"/>
      <c r="I17" s="182"/>
      <c r="J17" s="21">
        <v>13</v>
      </c>
      <c r="K17" s="2"/>
      <c r="L17" s="3"/>
      <c r="M17" s="5"/>
      <c r="N17" s="22"/>
    </row>
    <row r="18" spans="2:14" x14ac:dyDescent="0.3">
      <c r="B18" s="40">
        <v>14</v>
      </c>
      <c r="C18" s="7"/>
      <c r="D18" s="3"/>
      <c r="E18" s="5"/>
      <c r="F18" s="22"/>
      <c r="G18" s="21" t="s">
        <v>3</v>
      </c>
      <c r="H18" s="2" t="s">
        <v>26</v>
      </c>
      <c r="I18" s="2" t="s">
        <v>32</v>
      </c>
      <c r="J18" s="40">
        <v>14</v>
      </c>
      <c r="K18" s="2"/>
      <c r="L18" s="3"/>
      <c r="M18" s="5"/>
      <c r="N18" s="22"/>
    </row>
    <row r="19" spans="2:14" x14ac:dyDescent="0.3">
      <c r="B19" s="40">
        <v>15</v>
      </c>
      <c r="C19" s="7"/>
      <c r="D19" s="3"/>
      <c r="E19" s="5"/>
      <c r="F19" s="22"/>
      <c r="G19" s="43">
        <v>45884</v>
      </c>
      <c r="H19" s="44">
        <v>150</v>
      </c>
      <c r="I19" s="47" t="str">
        <f>IF(ISBLANK(G19),"",CONCATENATE(G19-$H$15+1," days"))</f>
        <v>45 days</v>
      </c>
      <c r="J19" s="21">
        <v>15</v>
      </c>
      <c r="K19" s="2"/>
      <c r="L19" s="3"/>
      <c r="M19" s="5"/>
      <c r="N19" s="22"/>
    </row>
    <row r="20" spans="2:14" x14ac:dyDescent="0.3">
      <c r="B20" s="40">
        <v>16</v>
      </c>
      <c r="C20" s="4"/>
      <c r="D20" s="3"/>
      <c r="E20" s="5"/>
      <c r="F20" s="22"/>
      <c r="G20" s="43">
        <v>45889</v>
      </c>
      <c r="H20" s="44">
        <v>120</v>
      </c>
      <c r="I20" s="47" t="str">
        <f t="shared" ref="I20:I26" si="1">IF(ISBLANK(G20),"",CONCATENATE(G20-$H$15+1," days"))</f>
        <v>50 days</v>
      </c>
      <c r="J20" s="21">
        <v>16</v>
      </c>
      <c r="K20" s="2"/>
      <c r="L20" s="3"/>
      <c r="M20" s="5"/>
      <c r="N20" s="22"/>
    </row>
    <row r="21" spans="2:14" x14ac:dyDescent="0.3">
      <c r="B21" s="40">
        <v>17</v>
      </c>
      <c r="C21" s="4"/>
      <c r="D21" s="3"/>
      <c r="E21" s="5"/>
      <c r="F21" s="22"/>
      <c r="G21" s="43">
        <v>45893</v>
      </c>
      <c r="H21" s="44">
        <v>97</v>
      </c>
      <c r="I21" s="47" t="str">
        <f t="shared" si="1"/>
        <v>54 days</v>
      </c>
      <c r="J21" s="21">
        <v>17</v>
      </c>
      <c r="K21" s="2"/>
      <c r="L21" s="3"/>
      <c r="M21" s="5"/>
      <c r="N21" s="22"/>
    </row>
    <row r="22" spans="2:14" x14ac:dyDescent="0.3">
      <c r="B22" s="40">
        <v>18</v>
      </c>
      <c r="C22" s="4"/>
      <c r="D22" s="3"/>
      <c r="E22" s="5"/>
      <c r="F22" s="22"/>
      <c r="G22" s="46">
        <v>45899</v>
      </c>
      <c r="H22" s="44">
        <v>80</v>
      </c>
      <c r="I22" s="47" t="str">
        <f t="shared" si="1"/>
        <v>60 days</v>
      </c>
      <c r="J22" s="21">
        <v>18</v>
      </c>
      <c r="K22" s="2"/>
      <c r="L22" s="3"/>
      <c r="M22" s="5"/>
      <c r="N22" s="22"/>
    </row>
    <row r="23" spans="2:14" x14ac:dyDescent="0.3">
      <c r="B23" s="40">
        <v>19</v>
      </c>
      <c r="C23" s="4"/>
      <c r="D23" s="3"/>
      <c r="E23" s="5"/>
      <c r="F23" s="22"/>
      <c r="G23" s="46">
        <v>45900</v>
      </c>
      <c r="H23" s="44">
        <v>74</v>
      </c>
      <c r="I23" s="47" t="str">
        <f t="shared" si="1"/>
        <v>61 days</v>
      </c>
      <c r="J23" s="21">
        <v>19</v>
      </c>
      <c r="K23" s="15"/>
      <c r="L23" s="15"/>
      <c r="M23" s="15"/>
      <c r="N23" s="33"/>
    </row>
    <row r="24" spans="2:14" x14ac:dyDescent="0.3">
      <c r="B24" s="40">
        <v>20</v>
      </c>
      <c r="C24" s="4"/>
      <c r="D24" s="3"/>
      <c r="E24" s="5"/>
      <c r="F24" s="22"/>
      <c r="G24" s="46">
        <v>45907</v>
      </c>
      <c r="H24" s="44">
        <v>56</v>
      </c>
      <c r="I24" s="47" t="str">
        <f t="shared" si="1"/>
        <v>68 days</v>
      </c>
      <c r="J24" s="21">
        <v>20</v>
      </c>
      <c r="K24" s="15"/>
      <c r="L24" s="15"/>
      <c r="M24" s="15"/>
      <c r="N24" s="33"/>
    </row>
    <row r="25" spans="2:14" x14ac:dyDescent="0.3">
      <c r="B25" s="40">
        <v>21</v>
      </c>
      <c r="C25" s="4"/>
      <c r="D25" s="3"/>
      <c r="E25" s="5"/>
      <c r="F25" s="22"/>
      <c r="G25" s="46">
        <v>45910</v>
      </c>
      <c r="H25" s="44">
        <v>50</v>
      </c>
      <c r="I25" s="47" t="str">
        <f t="shared" si="1"/>
        <v>71 days</v>
      </c>
      <c r="J25" s="21">
        <v>21</v>
      </c>
      <c r="K25" s="15"/>
      <c r="L25" s="15"/>
      <c r="M25" s="15"/>
      <c r="N25" s="33"/>
    </row>
    <row r="26" spans="2:14" x14ac:dyDescent="0.3">
      <c r="B26" s="40">
        <v>22</v>
      </c>
      <c r="C26" s="4"/>
      <c r="D26" s="3"/>
      <c r="E26" s="5"/>
      <c r="F26" s="22"/>
      <c r="G26" s="46">
        <v>45912</v>
      </c>
      <c r="H26" s="44">
        <v>48</v>
      </c>
      <c r="I26" s="47" t="str">
        <f t="shared" si="1"/>
        <v>73 days</v>
      </c>
      <c r="J26" s="21">
        <v>22</v>
      </c>
      <c r="K26" s="15"/>
      <c r="L26" s="15"/>
      <c r="M26" s="15"/>
      <c r="N26" s="33"/>
    </row>
    <row r="27" spans="2:14" x14ac:dyDescent="0.3">
      <c r="B27" s="40">
        <v>23</v>
      </c>
      <c r="C27" s="4"/>
      <c r="D27" s="3"/>
      <c r="E27" s="5"/>
      <c r="F27" s="22"/>
      <c r="G27" s="34"/>
      <c r="H27" s="44"/>
      <c r="I27" s="47"/>
      <c r="J27" s="21">
        <v>23</v>
      </c>
      <c r="K27" s="15"/>
      <c r="L27" s="15"/>
      <c r="M27" s="15"/>
      <c r="N27" s="33"/>
    </row>
    <row r="28" spans="2:14" x14ac:dyDescent="0.3">
      <c r="B28" s="40">
        <v>24</v>
      </c>
      <c r="C28" s="4"/>
      <c r="D28" s="3"/>
      <c r="E28" s="5"/>
      <c r="F28" s="22"/>
      <c r="G28" s="34"/>
      <c r="H28" s="44"/>
      <c r="I28" s="47"/>
      <c r="J28" s="21">
        <v>24</v>
      </c>
      <c r="K28" s="15"/>
      <c r="L28" s="15"/>
      <c r="M28" s="15"/>
      <c r="N28" s="33"/>
    </row>
    <row r="29" spans="2:14" x14ac:dyDescent="0.3">
      <c r="B29" s="40">
        <v>25</v>
      </c>
      <c r="C29" s="69"/>
      <c r="D29" s="70"/>
      <c r="E29" s="71"/>
      <c r="F29" s="72"/>
      <c r="G29" s="73"/>
      <c r="H29" s="74"/>
      <c r="I29" s="75"/>
      <c r="J29" s="21">
        <v>25</v>
      </c>
      <c r="K29" s="68"/>
      <c r="L29" s="68"/>
      <c r="M29" s="68"/>
      <c r="N29" s="76"/>
    </row>
    <row r="30" spans="2:14" ht="15" thickBot="1" x14ac:dyDescent="0.35">
      <c r="B30" s="77"/>
      <c r="C30" s="27"/>
      <c r="D30" s="28"/>
      <c r="E30" s="61"/>
      <c r="F30" s="62"/>
      <c r="G30" s="35"/>
      <c r="H30" s="45"/>
      <c r="I30" s="49"/>
      <c r="J30" s="35"/>
      <c r="K30" s="38"/>
      <c r="L30" s="68"/>
      <c r="M30" s="68"/>
      <c r="N30" s="36"/>
    </row>
    <row r="31" spans="2:14" x14ac:dyDescent="0.3">
      <c r="B31" s="24"/>
      <c r="C31" s="25"/>
      <c r="D31" s="26"/>
      <c r="E31" s="64" t="s">
        <v>65</v>
      </c>
      <c r="F31" s="84">
        <v>1050000</v>
      </c>
      <c r="G31" s="90" t="s">
        <v>186</v>
      </c>
      <c r="H31" s="125">
        <v>900000</v>
      </c>
      <c r="I31" s="59" t="s">
        <v>187</v>
      </c>
      <c r="J31" s="201">
        <v>150000</v>
      </c>
      <c r="K31" s="201"/>
      <c r="L31" s="96"/>
      <c r="M31" s="96"/>
    </row>
    <row r="32" spans="2:14" x14ac:dyDescent="0.3">
      <c r="E32" s="59" t="s">
        <v>62</v>
      </c>
      <c r="F32" s="90" t="s">
        <v>54</v>
      </c>
      <c r="G32" s="90" t="s">
        <v>26</v>
      </c>
      <c r="H32" s="90" t="s">
        <v>95</v>
      </c>
      <c r="I32" s="90" t="s">
        <v>63</v>
      </c>
      <c r="J32" s="183" t="s">
        <v>64</v>
      </c>
      <c r="K32" s="183"/>
      <c r="L32" s="184" t="s">
        <v>158</v>
      </c>
      <c r="M32" s="184"/>
    </row>
    <row r="33" spans="2:13" x14ac:dyDescent="0.3">
      <c r="E33" s="15" t="s">
        <v>189</v>
      </c>
      <c r="F33" s="57">
        <f>H33*G33</f>
        <v>190815.8</v>
      </c>
      <c r="G33" s="57">
        <v>98</v>
      </c>
      <c r="H33" s="65">
        <v>1947.1</v>
      </c>
      <c r="I33" s="60">
        <v>240</v>
      </c>
      <c r="J33" s="169">
        <f>H33*I33</f>
        <v>467304</v>
      </c>
      <c r="K33" s="169"/>
      <c r="L33" s="83" t="s">
        <v>199</v>
      </c>
      <c r="M33" s="60">
        <v>100000</v>
      </c>
    </row>
    <row r="34" spans="2:13" x14ac:dyDescent="0.3">
      <c r="E34" s="15" t="s">
        <v>190</v>
      </c>
      <c r="F34" s="57">
        <f t="shared" ref="F34:F39" si="2">H34*G34</f>
        <v>21718.3</v>
      </c>
      <c r="G34" s="57">
        <v>97</v>
      </c>
      <c r="H34" s="65">
        <v>223.9</v>
      </c>
      <c r="I34" s="60">
        <v>240</v>
      </c>
      <c r="J34" s="169">
        <f t="shared" ref="J34:J39" si="3">H34*I34</f>
        <v>53736</v>
      </c>
      <c r="K34" s="169"/>
      <c r="L34" s="83" t="s">
        <v>202</v>
      </c>
      <c r="M34" s="60">
        <v>600000</v>
      </c>
    </row>
    <row r="35" spans="2:13" x14ac:dyDescent="0.3">
      <c r="C35" s="122"/>
      <c r="E35" s="15" t="s">
        <v>191</v>
      </c>
      <c r="F35" s="57">
        <f t="shared" si="2"/>
        <v>185004</v>
      </c>
      <c r="G35" s="57">
        <v>81</v>
      </c>
      <c r="H35" s="65">
        <v>2284</v>
      </c>
      <c r="I35" s="60">
        <v>265</v>
      </c>
      <c r="J35" s="169">
        <f t="shared" si="3"/>
        <v>605260</v>
      </c>
      <c r="K35" s="169"/>
      <c r="L35" s="83" t="s">
        <v>206</v>
      </c>
      <c r="M35" s="60">
        <v>700000</v>
      </c>
    </row>
    <row r="36" spans="2:13" x14ac:dyDescent="0.3">
      <c r="E36" s="15" t="s">
        <v>192</v>
      </c>
      <c r="F36" s="57">
        <f t="shared" si="2"/>
        <v>42231.8</v>
      </c>
      <c r="G36" s="57">
        <v>74</v>
      </c>
      <c r="H36" s="65">
        <v>570.70000000000005</v>
      </c>
      <c r="I36" s="60">
        <v>265</v>
      </c>
      <c r="J36" s="169">
        <f t="shared" si="3"/>
        <v>151235.5</v>
      </c>
      <c r="K36" s="169"/>
      <c r="L36" s="83" t="s">
        <v>60</v>
      </c>
      <c r="M36" s="60">
        <v>920000</v>
      </c>
    </row>
    <row r="37" spans="2:13" x14ac:dyDescent="0.3">
      <c r="E37" s="15" t="s">
        <v>195</v>
      </c>
      <c r="F37" s="57">
        <f t="shared" si="2"/>
        <v>280347.3</v>
      </c>
      <c r="G37" s="57">
        <v>79</v>
      </c>
      <c r="H37" s="65">
        <v>3548.7</v>
      </c>
      <c r="I37" s="60">
        <v>265</v>
      </c>
      <c r="J37" s="169">
        <f t="shared" si="3"/>
        <v>940405.5</v>
      </c>
      <c r="K37" s="169"/>
      <c r="L37" s="83" t="s">
        <v>207</v>
      </c>
      <c r="M37" s="60">
        <v>16000</v>
      </c>
    </row>
    <row r="38" spans="2:13" x14ac:dyDescent="0.3">
      <c r="E38" s="15" t="s">
        <v>205</v>
      </c>
      <c r="F38" s="57">
        <f t="shared" si="2"/>
        <v>46252.800000000003</v>
      </c>
      <c r="G38" s="57">
        <v>48</v>
      </c>
      <c r="H38" s="65">
        <v>963.6</v>
      </c>
      <c r="I38" s="60">
        <v>330</v>
      </c>
      <c r="J38" s="169">
        <f t="shared" si="3"/>
        <v>317988</v>
      </c>
      <c r="K38" s="169"/>
      <c r="L38" s="83" t="s">
        <v>209</v>
      </c>
      <c r="M38" s="60">
        <v>200000</v>
      </c>
    </row>
    <row r="39" spans="2:13" x14ac:dyDescent="0.3">
      <c r="E39" s="15"/>
      <c r="F39" s="57">
        <f t="shared" si="2"/>
        <v>0</v>
      </c>
      <c r="G39" s="57"/>
      <c r="H39" s="65"/>
      <c r="I39" s="60"/>
      <c r="J39" s="169">
        <f t="shared" si="3"/>
        <v>0</v>
      </c>
      <c r="K39" s="169"/>
      <c r="L39" s="83"/>
      <c r="M39" s="60"/>
    </row>
    <row r="40" spans="2:13" x14ac:dyDescent="0.3">
      <c r="E40" s="50" t="s">
        <v>61</v>
      </c>
      <c r="F40" s="58">
        <f>SUM(F33:F38)</f>
        <v>766370</v>
      </c>
      <c r="G40" s="58"/>
      <c r="H40" s="82">
        <f>SUM(H33:H39)</f>
        <v>9538</v>
      </c>
      <c r="I40" s="50"/>
      <c r="J40" s="170">
        <f>SUM(J33:J39)</f>
        <v>2535929</v>
      </c>
      <c r="K40" s="170"/>
      <c r="L40" s="50" t="s">
        <v>88</v>
      </c>
      <c r="M40" s="5">
        <f>SUM(M33:M39)</f>
        <v>2536000</v>
      </c>
    </row>
    <row r="41" spans="2:13" ht="15" thickBot="1" x14ac:dyDescent="0.35">
      <c r="E41" s="50" t="s">
        <v>126</v>
      </c>
      <c r="F41" s="105" t="str">
        <f>CONCATENATE(ROUND((F40/F31)*100,2),"%")</f>
        <v>72.99%</v>
      </c>
      <c r="G41" s="15"/>
      <c r="H41" s="56"/>
      <c r="I41" s="15"/>
      <c r="J41" s="171"/>
      <c r="K41" s="171"/>
      <c r="L41" s="81" t="s">
        <v>89</v>
      </c>
      <c r="M41" s="5">
        <f>J40-M40</f>
        <v>-71</v>
      </c>
    </row>
    <row r="42" spans="2:13" x14ac:dyDescent="0.3">
      <c r="D42" s="39"/>
      <c r="L42" s="66"/>
      <c r="M42" s="39"/>
    </row>
    <row r="43" spans="2:13" x14ac:dyDescent="0.3">
      <c r="B43" s="172" t="s">
        <v>200</v>
      </c>
      <c r="C43" s="172"/>
      <c r="D43" s="57"/>
      <c r="E43" s="15"/>
      <c r="F43" s="126" t="e">
        <f>D43/E43</f>
        <v>#DIV/0!</v>
      </c>
      <c r="G43" s="60"/>
      <c r="H43" s="97" t="e">
        <f>F43*G43</f>
        <v>#DIV/0!</v>
      </c>
      <c r="I43" s="15"/>
      <c r="J43" s="15"/>
      <c r="K43" s="5"/>
      <c r="L43" s="15"/>
      <c r="M43" s="15"/>
    </row>
    <row r="44" spans="2:13" x14ac:dyDescent="0.3">
      <c r="D44" s="39"/>
      <c r="F44" s="26"/>
      <c r="G44" s="26"/>
      <c r="H44" s="26"/>
      <c r="I44" s="26"/>
      <c r="J44" s="26"/>
      <c r="K44" s="26"/>
    </row>
    <row r="46" spans="2:13" x14ac:dyDescent="0.3">
      <c r="E46" s="128"/>
    </row>
    <row r="54" spans="6:10" x14ac:dyDescent="0.3">
      <c r="F54" s="39"/>
    </row>
    <row r="56" spans="6:10" x14ac:dyDescent="0.3">
      <c r="J56" s="1" t="s">
        <v>138</v>
      </c>
    </row>
  </sheetData>
  <mergeCells count="25">
    <mergeCell ref="J38:K38"/>
    <mergeCell ref="J39:K39"/>
    <mergeCell ref="J40:K40"/>
    <mergeCell ref="J41:K41"/>
    <mergeCell ref="B43:C43"/>
    <mergeCell ref="L32:M32"/>
    <mergeCell ref="J33:K33"/>
    <mergeCell ref="J34:K34"/>
    <mergeCell ref="J35:K35"/>
    <mergeCell ref="J36:K36"/>
    <mergeCell ref="J37:K37"/>
    <mergeCell ref="G14:I14"/>
    <mergeCell ref="H15:I15"/>
    <mergeCell ref="H16:I16"/>
    <mergeCell ref="G17:I17"/>
    <mergeCell ref="J31:K31"/>
    <mergeCell ref="J32:K32"/>
    <mergeCell ref="B3:F3"/>
    <mergeCell ref="G3:I3"/>
    <mergeCell ref="J3:N3"/>
    <mergeCell ref="B1:F1"/>
    <mergeCell ref="H1:I1"/>
    <mergeCell ref="K1:L1"/>
    <mergeCell ref="B2:C2"/>
    <mergeCell ref="H2:I2"/>
  </mergeCells>
  <conditionalFormatting sqref="K1:L1">
    <cfRule type="cellIs" dxfId="38" priority="2" operator="greaterThan">
      <formula>0</formula>
    </cfRule>
    <cfRule type="cellIs" dxfId="37" priority="3" operator="lessThan">
      <formula>0</formula>
    </cfRule>
  </conditionalFormatting>
  <conditionalFormatting sqref="L5">
    <cfRule type="duplicateValues" dxfId="36" priority="1"/>
  </conditionalFormatting>
  <conditionalFormatting sqref="L6:L22">
    <cfRule type="duplicateValues" dxfId="35" priority="4"/>
  </conditionalFormatting>
  <conditionalFormatting sqref="M5:M22">
    <cfRule type="duplicateValues" dxfId="34" priority="5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29A4-AED8-468D-AD74-507461002B42}">
  <dimension ref="B1:N56"/>
  <sheetViews>
    <sheetView zoomScale="115" zoomScaleNormal="100" workbookViewId="0">
      <pane ySplit="1" topLeftCell="A9" activePane="bottomLeft" state="frozen"/>
      <selection pane="bottomLeft" activeCell="E11" sqref="E11"/>
    </sheetView>
  </sheetViews>
  <sheetFormatPr defaultRowHeight="14.4" x14ac:dyDescent="0.3"/>
  <cols>
    <col min="1" max="1" width="1.88671875" style="1" customWidth="1"/>
    <col min="2" max="2" width="3" style="6" bestFit="1" customWidth="1"/>
    <col min="3" max="3" width="10.77734375" style="6" bestFit="1" customWidth="1"/>
    <col min="4" max="4" width="18.21875" style="1" bestFit="1" customWidth="1"/>
    <col min="5" max="5" width="21.6640625" style="1" bestFit="1" customWidth="1"/>
    <col min="6" max="6" width="17.6640625" style="1" bestFit="1" customWidth="1"/>
    <col min="7" max="7" width="10.5546875" style="1" bestFit="1" customWidth="1"/>
    <col min="8" max="8" width="14.77734375" style="1" bestFit="1" customWidth="1"/>
    <col min="9" max="9" width="9.77734375" style="1" customWidth="1"/>
    <col min="10" max="10" width="8.33203125" style="1" customWidth="1"/>
    <col min="11" max="11" width="10.33203125" style="1" bestFit="1" customWidth="1"/>
    <col min="12" max="12" width="40" style="1" bestFit="1" customWidth="1"/>
    <col min="13" max="13" width="15.88671875" style="1" customWidth="1"/>
    <col min="14" max="14" width="22.5546875" style="1" customWidth="1"/>
    <col min="15" max="16384" width="8.88671875" style="1"/>
  </cols>
  <sheetData>
    <row r="1" spans="2:14" ht="16.2" thickBot="1" x14ac:dyDescent="0.35">
      <c r="B1" s="186" t="s">
        <v>227</v>
      </c>
      <c r="C1" s="187"/>
      <c r="D1" s="187"/>
      <c r="E1" s="187"/>
      <c r="F1" s="188"/>
      <c r="G1" s="16" t="s">
        <v>25</v>
      </c>
      <c r="H1" s="176">
        <v>45918</v>
      </c>
      <c r="I1" s="177"/>
      <c r="J1" s="17" t="s">
        <v>15</v>
      </c>
      <c r="K1" s="189">
        <f>M2-E2</f>
        <v>979350</v>
      </c>
      <c r="L1" s="190"/>
      <c r="M1" s="18"/>
      <c r="N1" s="19"/>
    </row>
    <row r="2" spans="2:14" ht="15.6" x14ac:dyDescent="0.3">
      <c r="B2" s="191"/>
      <c r="C2" s="192"/>
      <c r="D2" s="13" t="s">
        <v>14</v>
      </c>
      <c r="E2" s="12">
        <f>SUM(E5:E30)</f>
        <v>1551000</v>
      </c>
      <c r="F2" s="20"/>
      <c r="G2" s="31" t="s">
        <v>32</v>
      </c>
      <c r="H2" s="178" t="s">
        <v>259</v>
      </c>
      <c r="I2" s="193"/>
      <c r="J2" s="37"/>
      <c r="K2" s="10"/>
      <c r="L2" s="11" t="s">
        <v>14</v>
      </c>
      <c r="M2" s="12">
        <f>SUM(M5:M22)</f>
        <v>2530350</v>
      </c>
      <c r="N2" s="20"/>
    </row>
    <row r="3" spans="2:14" x14ac:dyDescent="0.3">
      <c r="B3" s="194" t="s">
        <v>36</v>
      </c>
      <c r="C3" s="195"/>
      <c r="D3" s="196"/>
      <c r="E3" s="196"/>
      <c r="F3" s="197"/>
      <c r="G3" s="180" t="s">
        <v>33</v>
      </c>
      <c r="H3" s="181"/>
      <c r="I3" s="181"/>
      <c r="J3" s="194" t="s">
        <v>37</v>
      </c>
      <c r="K3" s="195"/>
      <c r="L3" s="196"/>
      <c r="M3" s="196"/>
      <c r="N3" s="197"/>
    </row>
    <row r="4" spans="2:14" x14ac:dyDescent="0.3">
      <c r="B4" s="40" t="s">
        <v>0</v>
      </c>
      <c r="C4" s="2" t="s">
        <v>3</v>
      </c>
      <c r="D4" s="3" t="s">
        <v>1</v>
      </c>
      <c r="E4" s="3" t="s">
        <v>13</v>
      </c>
      <c r="F4" s="22" t="s">
        <v>2</v>
      </c>
      <c r="G4" s="21" t="s">
        <v>3</v>
      </c>
      <c r="H4" s="99" t="s">
        <v>26</v>
      </c>
      <c r="I4" s="99" t="s">
        <v>32</v>
      </c>
      <c r="J4" s="40" t="s">
        <v>0</v>
      </c>
      <c r="K4" s="2" t="s">
        <v>3</v>
      </c>
      <c r="L4" s="3" t="s">
        <v>1</v>
      </c>
      <c r="M4" s="3" t="s">
        <v>13</v>
      </c>
      <c r="N4" s="22" t="s">
        <v>2</v>
      </c>
    </row>
    <row r="5" spans="2:14" x14ac:dyDescent="0.3">
      <c r="B5" s="40">
        <v>1</v>
      </c>
      <c r="C5" s="7">
        <v>45918</v>
      </c>
      <c r="D5" s="26" t="s">
        <v>19</v>
      </c>
      <c r="E5" s="9">
        <v>288000</v>
      </c>
      <c r="F5" s="23" t="s">
        <v>223</v>
      </c>
      <c r="G5" s="43">
        <v>45972</v>
      </c>
      <c r="H5" s="44">
        <v>90</v>
      </c>
      <c r="I5" s="47" t="str">
        <f>IF(ISBLANK(G5),"",CONCATENATE(G5-$H$1+1," days"))</f>
        <v>55 days</v>
      </c>
      <c r="J5" s="21">
        <v>1</v>
      </c>
      <c r="K5" s="43">
        <v>45975</v>
      </c>
      <c r="L5" s="3" t="s">
        <v>219</v>
      </c>
      <c r="M5" s="5">
        <v>496056</v>
      </c>
      <c r="N5" s="22"/>
    </row>
    <row r="6" spans="2:14" x14ac:dyDescent="0.3">
      <c r="B6" s="40">
        <v>2</v>
      </c>
      <c r="C6" s="7">
        <v>45918</v>
      </c>
      <c r="D6" s="3" t="s">
        <v>208</v>
      </c>
      <c r="E6" s="5">
        <v>17500</v>
      </c>
      <c r="F6" s="23"/>
      <c r="G6" s="43">
        <v>45974</v>
      </c>
      <c r="H6" s="44">
        <v>93</v>
      </c>
      <c r="I6" s="47" t="str">
        <f t="shared" ref="I6:I13" si="0">IF(ISBLANK(G6),"",CONCATENATE(G6-$H$1+1," days"))</f>
        <v>57 days</v>
      </c>
      <c r="J6" s="21">
        <v>2</v>
      </c>
      <c r="K6" s="4">
        <v>45985</v>
      </c>
      <c r="L6" s="3" t="s">
        <v>225</v>
      </c>
      <c r="M6" s="5">
        <v>644160</v>
      </c>
      <c r="N6" s="22"/>
    </row>
    <row r="7" spans="2:14" x14ac:dyDescent="0.3">
      <c r="B7" s="40">
        <v>3</v>
      </c>
      <c r="C7" s="7">
        <v>45961</v>
      </c>
      <c r="D7" s="3" t="s">
        <v>231</v>
      </c>
      <c r="E7" s="5">
        <v>996000</v>
      </c>
      <c r="F7" s="23"/>
      <c r="G7" s="43">
        <v>45975</v>
      </c>
      <c r="H7" s="44">
        <v>88</v>
      </c>
      <c r="I7" s="47" t="str">
        <f t="shared" si="0"/>
        <v>58 days</v>
      </c>
      <c r="J7" s="21">
        <v>3</v>
      </c>
      <c r="K7" s="4">
        <v>45995</v>
      </c>
      <c r="L7" s="3" t="s">
        <v>229</v>
      </c>
      <c r="M7" s="5">
        <v>1136588</v>
      </c>
      <c r="N7" s="22"/>
    </row>
    <row r="8" spans="2:14" x14ac:dyDescent="0.3">
      <c r="B8" s="40">
        <v>4</v>
      </c>
      <c r="C8" s="7">
        <v>45956</v>
      </c>
      <c r="D8" s="3" t="s">
        <v>220</v>
      </c>
      <c r="E8" s="5">
        <v>15000</v>
      </c>
      <c r="F8" s="22"/>
      <c r="G8" s="43">
        <v>45982</v>
      </c>
      <c r="H8" s="44">
        <v>72</v>
      </c>
      <c r="I8" s="47" t="str">
        <f t="shared" si="0"/>
        <v>65 days</v>
      </c>
      <c r="J8" s="21">
        <v>4</v>
      </c>
      <c r="K8" s="4">
        <v>45995</v>
      </c>
      <c r="L8" s="3" t="s">
        <v>230</v>
      </c>
      <c r="M8" s="5">
        <v>244273.5</v>
      </c>
      <c r="N8" s="22"/>
    </row>
    <row r="9" spans="2:14" x14ac:dyDescent="0.3">
      <c r="B9" s="40">
        <v>5</v>
      </c>
      <c r="C9" s="7">
        <v>45995</v>
      </c>
      <c r="D9" s="3" t="s">
        <v>228</v>
      </c>
      <c r="E9" s="5">
        <v>100000</v>
      </c>
      <c r="F9" s="22"/>
      <c r="G9" s="46">
        <v>45985</v>
      </c>
      <c r="H9" s="44">
        <v>68</v>
      </c>
      <c r="I9" s="47" t="str">
        <f t="shared" si="0"/>
        <v>68 days</v>
      </c>
      <c r="J9" s="21">
        <v>5</v>
      </c>
      <c r="K9" s="4">
        <v>46001</v>
      </c>
      <c r="L9" s="3" t="s">
        <v>234</v>
      </c>
      <c r="M9" s="5">
        <v>3182.5</v>
      </c>
      <c r="N9" s="22"/>
    </row>
    <row r="10" spans="2:14" x14ac:dyDescent="0.3">
      <c r="B10" s="40">
        <v>6</v>
      </c>
      <c r="C10" s="7">
        <v>45995</v>
      </c>
      <c r="D10" s="3" t="s">
        <v>69</v>
      </c>
      <c r="E10" s="5">
        <v>70000</v>
      </c>
      <c r="F10" s="22"/>
      <c r="G10" s="46">
        <v>45991</v>
      </c>
      <c r="H10" s="44">
        <v>62</v>
      </c>
      <c r="I10" s="47" t="str">
        <f t="shared" si="0"/>
        <v>74 days</v>
      </c>
      <c r="J10" s="21">
        <v>6</v>
      </c>
      <c r="K10" s="4">
        <v>46003</v>
      </c>
      <c r="L10" s="3" t="s">
        <v>233</v>
      </c>
      <c r="M10" s="5">
        <v>6090</v>
      </c>
      <c r="N10" s="22"/>
    </row>
    <row r="11" spans="2:14" x14ac:dyDescent="0.3">
      <c r="B11" s="40">
        <v>7</v>
      </c>
      <c r="C11" s="7">
        <v>45995</v>
      </c>
      <c r="D11" s="3" t="s">
        <v>241</v>
      </c>
      <c r="E11" s="5">
        <v>34500</v>
      </c>
      <c r="F11" s="22"/>
      <c r="G11" s="46">
        <v>45995</v>
      </c>
      <c r="H11" s="44">
        <v>58</v>
      </c>
      <c r="I11" s="47" t="str">
        <f t="shared" si="0"/>
        <v>78 days</v>
      </c>
      <c r="J11" s="21">
        <v>7</v>
      </c>
      <c r="K11" s="2"/>
      <c r="L11" s="3"/>
      <c r="M11" s="5"/>
      <c r="N11" s="22"/>
    </row>
    <row r="12" spans="2:14" x14ac:dyDescent="0.3">
      <c r="B12" s="40">
        <v>8</v>
      </c>
      <c r="C12" s="7">
        <v>45995</v>
      </c>
      <c r="D12" s="3" t="s">
        <v>264</v>
      </c>
      <c r="E12" s="5">
        <v>30000</v>
      </c>
      <c r="F12" s="55"/>
      <c r="G12" s="46"/>
      <c r="H12" s="109"/>
      <c r="I12" s="121" t="str">
        <f t="shared" si="0"/>
        <v/>
      </c>
      <c r="J12" s="40">
        <v>8</v>
      </c>
      <c r="K12" s="2"/>
      <c r="L12" s="3"/>
      <c r="M12" s="5"/>
      <c r="N12" s="22"/>
    </row>
    <row r="13" spans="2:14" x14ac:dyDescent="0.3">
      <c r="B13" s="40">
        <v>9</v>
      </c>
      <c r="C13" s="7"/>
      <c r="D13" s="3"/>
      <c r="E13" s="5"/>
      <c r="F13" s="55"/>
      <c r="G13" s="46"/>
      <c r="H13" s="109"/>
      <c r="I13" s="121" t="str">
        <f t="shared" si="0"/>
        <v/>
      </c>
      <c r="J13" s="40">
        <v>9</v>
      </c>
      <c r="K13" s="2"/>
      <c r="L13" s="3"/>
      <c r="M13" s="5"/>
      <c r="N13" s="22"/>
    </row>
    <row r="14" spans="2:14" ht="15" thickBot="1" x14ac:dyDescent="0.35">
      <c r="B14" s="40">
        <v>10</v>
      </c>
      <c r="C14" s="7"/>
      <c r="D14" s="3"/>
      <c r="E14" s="5"/>
      <c r="F14" s="67"/>
      <c r="G14" s="173" t="s">
        <v>57</v>
      </c>
      <c r="H14" s="174"/>
      <c r="I14" s="175"/>
      <c r="J14" s="21">
        <v>10</v>
      </c>
      <c r="K14" s="2"/>
      <c r="L14" s="3"/>
      <c r="M14" s="5"/>
      <c r="N14" s="22"/>
    </row>
    <row r="15" spans="2:14" ht="15" thickBot="1" x14ac:dyDescent="0.35">
      <c r="B15" s="40">
        <v>11</v>
      </c>
      <c r="C15" s="7"/>
      <c r="D15" s="3"/>
      <c r="E15" s="5"/>
      <c r="F15" s="22"/>
      <c r="G15" s="16" t="s">
        <v>25</v>
      </c>
      <c r="H15" s="176">
        <v>45918</v>
      </c>
      <c r="I15" s="177"/>
      <c r="J15" s="21">
        <v>11</v>
      </c>
      <c r="K15" s="2"/>
      <c r="L15" s="3"/>
      <c r="M15" s="5"/>
      <c r="N15" s="22"/>
    </row>
    <row r="16" spans="2:14" x14ac:dyDescent="0.3">
      <c r="B16" s="40">
        <v>12</v>
      </c>
      <c r="C16" s="7"/>
      <c r="D16" s="3"/>
      <c r="E16" s="5"/>
      <c r="F16" s="22"/>
      <c r="G16" s="31" t="s">
        <v>32</v>
      </c>
      <c r="H16" s="178" t="s">
        <v>259</v>
      </c>
      <c r="I16" s="179"/>
      <c r="J16" s="21">
        <v>12</v>
      </c>
      <c r="K16" s="2"/>
      <c r="L16" s="3"/>
      <c r="M16" s="5"/>
      <c r="N16" s="22"/>
    </row>
    <row r="17" spans="2:14" x14ac:dyDescent="0.3">
      <c r="B17" s="40">
        <v>13</v>
      </c>
      <c r="C17" s="7"/>
      <c r="D17" s="3"/>
      <c r="E17" s="5"/>
      <c r="F17" s="22"/>
      <c r="G17" s="180" t="s">
        <v>33</v>
      </c>
      <c r="H17" s="181"/>
      <c r="I17" s="182"/>
      <c r="J17" s="21">
        <v>13</v>
      </c>
      <c r="K17" s="2"/>
      <c r="L17" s="3"/>
      <c r="M17" s="5"/>
      <c r="N17" s="22"/>
    </row>
    <row r="18" spans="2:14" x14ac:dyDescent="0.3">
      <c r="B18" s="40">
        <v>14</v>
      </c>
      <c r="C18" s="7"/>
      <c r="D18" s="3"/>
      <c r="E18" s="5"/>
      <c r="F18" s="22"/>
      <c r="G18" s="21" t="s">
        <v>3</v>
      </c>
      <c r="H18" s="2" t="s">
        <v>26</v>
      </c>
      <c r="I18" s="2" t="s">
        <v>32</v>
      </c>
      <c r="J18" s="40">
        <v>14</v>
      </c>
      <c r="K18" s="2" t="s">
        <v>138</v>
      </c>
      <c r="L18" s="3"/>
      <c r="M18" s="5"/>
      <c r="N18" s="22"/>
    </row>
    <row r="19" spans="2:14" x14ac:dyDescent="0.3">
      <c r="B19" s="40">
        <v>15</v>
      </c>
      <c r="C19" s="7"/>
      <c r="D19" s="3"/>
      <c r="E19" s="5"/>
      <c r="F19" s="22"/>
      <c r="G19" s="43">
        <v>45972</v>
      </c>
      <c r="H19" s="44">
        <v>130</v>
      </c>
      <c r="I19" s="47" t="str">
        <f>IF(ISBLANK(G19),"",CONCATENATE(G19-$H$15+1," days"))</f>
        <v>55 days</v>
      </c>
      <c r="J19" s="21">
        <v>15</v>
      </c>
      <c r="K19" s="2"/>
      <c r="L19" s="3"/>
      <c r="M19" s="5"/>
      <c r="N19" s="22"/>
    </row>
    <row r="20" spans="2:14" x14ac:dyDescent="0.3">
      <c r="B20" s="40">
        <v>16</v>
      </c>
      <c r="C20" s="4"/>
      <c r="D20" s="3"/>
      <c r="E20" s="5"/>
      <c r="F20" s="22"/>
      <c r="G20" s="43">
        <v>45979</v>
      </c>
      <c r="H20" s="44">
        <v>110</v>
      </c>
      <c r="I20" s="47" t="str">
        <f t="shared" ref="I20:I25" si="1">IF(ISBLANK(G20),"",CONCATENATE(G20-$H$15+1," days"))</f>
        <v>62 days</v>
      </c>
      <c r="J20" s="21">
        <v>16</v>
      </c>
      <c r="K20" s="2"/>
      <c r="L20" s="3"/>
      <c r="M20" s="5"/>
      <c r="N20" s="22"/>
    </row>
    <row r="21" spans="2:14" x14ac:dyDescent="0.3">
      <c r="B21" s="40">
        <v>17</v>
      </c>
      <c r="C21" s="4"/>
      <c r="D21" s="3"/>
      <c r="E21" s="5"/>
      <c r="F21" s="22"/>
      <c r="G21" s="43">
        <v>45991</v>
      </c>
      <c r="H21" s="44">
        <v>93</v>
      </c>
      <c r="I21" s="47" t="str">
        <f t="shared" si="1"/>
        <v>74 days</v>
      </c>
      <c r="J21" s="21">
        <v>17</v>
      </c>
      <c r="K21" s="2"/>
      <c r="L21" s="3"/>
      <c r="M21" s="5"/>
      <c r="N21" s="22"/>
    </row>
    <row r="22" spans="2:14" x14ac:dyDescent="0.3">
      <c r="B22" s="40">
        <v>18</v>
      </c>
      <c r="C22" s="4"/>
      <c r="D22" s="3"/>
      <c r="E22" s="5"/>
      <c r="F22" s="22"/>
      <c r="G22" s="46">
        <v>45995</v>
      </c>
      <c r="H22" s="44">
        <v>78</v>
      </c>
      <c r="I22" s="47" t="str">
        <f t="shared" si="1"/>
        <v>78 days</v>
      </c>
      <c r="J22" s="21">
        <v>18</v>
      </c>
      <c r="K22" s="2"/>
      <c r="L22" s="3"/>
      <c r="M22" s="5"/>
      <c r="N22" s="22"/>
    </row>
    <row r="23" spans="2:14" x14ac:dyDescent="0.3">
      <c r="B23" s="40">
        <v>19</v>
      </c>
      <c r="C23" s="4"/>
      <c r="D23" s="3"/>
      <c r="E23" s="5"/>
      <c r="F23" s="22"/>
      <c r="G23" s="46"/>
      <c r="H23" s="44"/>
      <c r="I23" s="47" t="str">
        <f t="shared" si="1"/>
        <v/>
      </c>
      <c r="J23" s="21">
        <v>19</v>
      </c>
      <c r="K23" s="15"/>
      <c r="L23" s="15"/>
      <c r="M23" s="15"/>
      <c r="N23" s="33"/>
    </row>
    <row r="24" spans="2:14" x14ac:dyDescent="0.3">
      <c r="B24" s="40">
        <v>20</v>
      </c>
      <c r="C24" s="4"/>
      <c r="D24" s="3"/>
      <c r="E24" s="5"/>
      <c r="F24" s="22"/>
      <c r="G24" s="34"/>
      <c r="H24" s="44"/>
      <c r="I24" s="47" t="str">
        <f t="shared" si="1"/>
        <v/>
      </c>
      <c r="J24" s="21">
        <v>20</v>
      </c>
      <c r="K24" s="15"/>
      <c r="L24" s="15"/>
      <c r="M24" s="15"/>
      <c r="N24" s="33"/>
    </row>
    <row r="25" spans="2:14" x14ac:dyDescent="0.3">
      <c r="B25" s="40">
        <v>21</v>
      </c>
      <c r="C25" s="4"/>
      <c r="D25" s="3"/>
      <c r="E25" s="5"/>
      <c r="F25" s="22"/>
      <c r="G25" s="34"/>
      <c r="H25" s="44"/>
      <c r="I25" s="47" t="str">
        <f t="shared" si="1"/>
        <v/>
      </c>
      <c r="J25" s="21">
        <v>21</v>
      </c>
      <c r="K25" s="15"/>
      <c r="L25" s="15"/>
      <c r="M25" s="15"/>
      <c r="N25" s="33"/>
    </row>
    <row r="26" spans="2:14" x14ac:dyDescent="0.3">
      <c r="B26" s="40">
        <v>22</v>
      </c>
      <c r="C26" s="4"/>
      <c r="D26" s="3"/>
      <c r="E26" s="5"/>
      <c r="F26" s="22"/>
      <c r="G26" s="34"/>
      <c r="H26" s="44"/>
      <c r="I26" s="47"/>
      <c r="J26" s="21">
        <v>22</v>
      </c>
      <c r="K26" s="15"/>
      <c r="L26" s="15"/>
      <c r="M26" s="15"/>
      <c r="N26" s="33"/>
    </row>
    <row r="27" spans="2:14" x14ac:dyDescent="0.3">
      <c r="B27" s="40">
        <v>23</v>
      </c>
      <c r="C27" s="4"/>
      <c r="D27" s="3"/>
      <c r="E27" s="5"/>
      <c r="F27" s="22"/>
      <c r="G27" s="34"/>
      <c r="H27" s="44"/>
      <c r="I27" s="47"/>
      <c r="J27" s="21">
        <v>23</v>
      </c>
      <c r="K27" s="15"/>
      <c r="L27" s="15"/>
      <c r="M27" s="15"/>
      <c r="N27" s="33"/>
    </row>
    <row r="28" spans="2:14" x14ac:dyDescent="0.3">
      <c r="B28" s="40">
        <v>24</v>
      </c>
      <c r="C28" s="4"/>
      <c r="D28" s="3"/>
      <c r="E28" s="5"/>
      <c r="F28" s="22"/>
      <c r="G28" s="34"/>
      <c r="H28" s="44"/>
      <c r="I28" s="47"/>
      <c r="J28" s="21">
        <v>24</v>
      </c>
      <c r="K28" s="15"/>
      <c r="L28" s="15"/>
      <c r="M28" s="15"/>
      <c r="N28" s="33"/>
    </row>
    <row r="29" spans="2:14" x14ac:dyDescent="0.3">
      <c r="B29" s="40">
        <v>25</v>
      </c>
      <c r="C29" s="69"/>
      <c r="D29" s="70"/>
      <c r="E29" s="71"/>
      <c r="F29" s="72"/>
      <c r="G29" s="73"/>
      <c r="H29" s="74"/>
      <c r="I29" s="75"/>
      <c r="J29" s="21">
        <v>25</v>
      </c>
      <c r="K29" s="68"/>
      <c r="L29" s="68"/>
      <c r="M29" s="68"/>
      <c r="N29" s="76"/>
    </row>
    <row r="30" spans="2:14" ht="15" thickBot="1" x14ac:dyDescent="0.35">
      <c r="B30" s="77"/>
      <c r="C30" s="27"/>
      <c r="D30" s="28"/>
      <c r="E30" s="61"/>
      <c r="F30" s="62"/>
      <c r="G30" s="35"/>
      <c r="H30" s="45"/>
      <c r="I30" s="49"/>
      <c r="J30" s="35"/>
      <c r="K30" s="38"/>
      <c r="L30" s="68"/>
      <c r="M30" s="68"/>
      <c r="N30" s="76"/>
    </row>
    <row r="31" spans="2:14" x14ac:dyDescent="0.3">
      <c r="B31" s="24"/>
      <c r="C31" s="25"/>
      <c r="D31" s="26"/>
      <c r="E31" s="64" t="s">
        <v>65</v>
      </c>
      <c r="F31" s="84">
        <v>900000</v>
      </c>
      <c r="G31" s="90" t="s">
        <v>186</v>
      </c>
      <c r="H31" s="84">
        <v>750000</v>
      </c>
      <c r="I31" s="59" t="s">
        <v>187</v>
      </c>
      <c r="J31" s="84">
        <v>150000</v>
      </c>
      <c r="K31" s="84"/>
      <c r="L31" s="96"/>
      <c r="M31" s="130"/>
      <c r="N31" s="15"/>
    </row>
    <row r="32" spans="2:14" x14ac:dyDescent="0.3">
      <c r="E32" s="59" t="s">
        <v>62</v>
      </c>
      <c r="F32" s="90" t="s">
        <v>54</v>
      </c>
      <c r="G32" s="90" t="s">
        <v>26</v>
      </c>
      <c r="H32" s="90" t="s">
        <v>95</v>
      </c>
      <c r="I32" s="90" t="s">
        <v>63</v>
      </c>
      <c r="J32" s="183" t="s">
        <v>64</v>
      </c>
      <c r="K32" s="183"/>
      <c r="L32" s="184" t="s">
        <v>158</v>
      </c>
      <c r="M32" s="185"/>
      <c r="N32" s="15"/>
    </row>
    <row r="33" spans="2:14" x14ac:dyDescent="0.3">
      <c r="E33" s="15" t="s">
        <v>218</v>
      </c>
      <c r="F33" s="57">
        <f>H33*G33</f>
        <v>181887.2</v>
      </c>
      <c r="G33" s="57">
        <v>88</v>
      </c>
      <c r="H33" s="65">
        <v>2066.9</v>
      </c>
      <c r="I33" s="60">
        <v>240</v>
      </c>
      <c r="J33" s="169">
        <f>H33*I33</f>
        <v>496056</v>
      </c>
      <c r="K33" s="169"/>
      <c r="L33" s="83" t="s">
        <v>232</v>
      </c>
      <c r="M33" s="131">
        <v>50000</v>
      </c>
      <c r="N33" s="15"/>
    </row>
    <row r="34" spans="2:14" x14ac:dyDescent="0.3">
      <c r="E34" s="15" t="s">
        <v>221</v>
      </c>
      <c r="F34" s="57">
        <f t="shared" ref="F34:F39" si="2">H34*G34</f>
        <v>146009.59999999998</v>
      </c>
      <c r="G34" s="57">
        <v>68</v>
      </c>
      <c r="H34" s="65">
        <v>2147.1999999999998</v>
      </c>
      <c r="I34" s="60">
        <v>300</v>
      </c>
      <c r="J34" s="169">
        <f t="shared" ref="J34:J39" si="3">H34*I34</f>
        <v>644160</v>
      </c>
      <c r="K34" s="169"/>
      <c r="L34" s="83" t="s">
        <v>60</v>
      </c>
      <c r="M34" s="131">
        <v>996688</v>
      </c>
      <c r="N34" s="15"/>
    </row>
    <row r="35" spans="2:14" x14ac:dyDescent="0.3">
      <c r="C35" s="122"/>
      <c r="E35" s="15" t="s">
        <v>168</v>
      </c>
      <c r="F35" s="57">
        <f t="shared" si="2"/>
        <v>196782.40000000002</v>
      </c>
      <c r="G35" s="57">
        <v>58</v>
      </c>
      <c r="H35" s="65">
        <v>3392.8</v>
      </c>
      <c r="I35" s="60">
        <v>335</v>
      </c>
      <c r="J35" s="169">
        <f t="shared" si="3"/>
        <v>1136588</v>
      </c>
      <c r="K35" s="169"/>
      <c r="L35" s="83" t="s">
        <v>242</v>
      </c>
      <c r="M35" s="131">
        <v>500000</v>
      </c>
      <c r="N35" s="15" t="s">
        <v>138</v>
      </c>
    </row>
    <row r="36" spans="2:14" x14ac:dyDescent="0.3">
      <c r="E36" s="15" t="s">
        <v>224</v>
      </c>
      <c r="F36" s="57">
        <f t="shared" si="2"/>
        <v>66853.8</v>
      </c>
      <c r="G36" s="57">
        <v>78</v>
      </c>
      <c r="H36" s="65">
        <v>857.1</v>
      </c>
      <c r="I36" s="60">
        <v>285</v>
      </c>
      <c r="J36" s="169">
        <f t="shared" si="3"/>
        <v>244273.5</v>
      </c>
      <c r="K36" s="169"/>
      <c r="L36" s="83" t="s">
        <v>243</v>
      </c>
      <c r="M36" s="131">
        <v>500000</v>
      </c>
      <c r="N36" s="15"/>
    </row>
    <row r="37" spans="2:14" x14ac:dyDescent="0.3">
      <c r="E37" s="15" t="s">
        <v>234</v>
      </c>
      <c r="F37" s="57">
        <f t="shared" si="2"/>
        <v>570</v>
      </c>
      <c r="G37" s="57">
        <v>60</v>
      </c>
      <c r="H37" s="65">
        <v>9.5</v>
      </c>
      <c r="I37" s="60">
        <v>335</v>
      </c>
      <c r="J37" s="169">
        <f t="shared" si="3"/>
        <v>3182.5</v>
      </c>
      <c r="K37" s="169"/>
      <c r="L37" s="83" t="s">
        <v>245</v>
      </c>
      <c r="M37" s="131">
        <v>300000</v>
      </c>
      <c r="N37" s="15"/>
    </row>
    <row r="38" spans="2:14" x14ac:dyDescent="0.3">
      <c r="E38" s="15" t="s">
        <v>233</v>
      </c>
      <c r="F38" s="57">
        <f t="shared" si="2"/>
        <v>1680</v>
      </c>
      <c r="G38" s="57">
        <v>80</v>
      </c>
      <c r="H38" s="65">
        <v>21</v>
      </c>
      <c r="I38" s="60">
        <v>290</v>
      </c>
      <c r="J38" s="169">
        <f t="shared" si="3"/>
        <v>6090</v>
      </c>
      <c r="K38" s="169"/>
      <c r="L38" s="83" t="s">
        <v>232</v>
      </c>
      <c r="M38" s="131">
        <v>50000</v>
      </c>
      <c r="N38" s="15"/>
    </row>
    <row r="39" spans="2:14" x14ac:dyDescent="0.3">
      <c r="E39" s="15"/>
      <c r="F39" s="57">
        <f t="shared" si="2"/>
        <v>0</v>
      </c>
      <c r="G39" s="57"/>
      <c r="H39" s="65"/>
      <c r="I39" s="60"/>
      <c r="J39" s="169">
        <f t="shared" si="3"/>
        <v>0</v>
      </c>
      <c r="K39" s="169"/>
      <c r="L39" s="83" t="s">
        <v>69</v>
      </c>
      <c r="M39" s="131">
        <v>136000</v>
      </c>
      <c r="N39" s="15"/>
    </row>
    <row r="40" spans="2:14" x14ac:dyDescent="0.3">
      <c r="E40" s="50" t="s">
        <v>61</v>
      </c>
      <c r="F40" s="58">
        <f>SUM(F33:F38)</f>
        <v>593783</v>
      </c>
      <c r="G40" s="58"/>
      <c r="H40" s="82">
        <f>SUM(H33:H39)</f>
        <v>8494.5</v>
      </c>
      <c r="I40" s="50"/>
      <c r="J40" s="170">
        <f>SUM(J33:J39)</f>
        <v>2530350</v>
      </c>
      <c r="K40" s="170"/>
      <c r="L40" s="50" t="s">
        <v>88</v>
      </c>
      <c r="M40" s="132">
        <f>SUM(M33:M39)</f>
        <v>2532688</v>
      </c>
      <c r="N40" s="15"/>
    </row>
    <row r="41" spans="2:14" ht="15" thickBot="1" x14ac:dyDescent="0.35">
      <c r="E41" s="50" t="s">
        <v>126</v>
      </c>
      <c r="F41" s="105" t="str">
        <f>CONCATENATE(ROUND((F40/F31)*100,2),"%")</f>
        <v>65.98%</v>
      </c>
      <c r="G41" s="15"/>
      <c r="H41" s="56"/>
      <c r="I41" s="15"/>
      <c r="J41" s="171"/>
      <c r="K41" s="171"/>
      <c r="L41" s="81" t="s">
        <v>89</v>
      </c>
      <c r="M41" s="101">
        <f>J40-M40</f>
        <v>-2338</v>
      </c>
      <c r="N41" s="15"/>
    </row>
    <row r="42" spans="2:14" x14ac:dyDescent="0.3">
      <c r="D42" s="39"/>
      <c r="L42" s="66"/>
      <c r="M42" s="39"/>
    </row>
    <row r="43" spans="2:14" x14ac:dyDescent="0.3">
      <c r="B43" s="172" t="s">
        <v>200</v>
      </c>
      <c r="C43" s="172"/>
      <c r="D43" s="57"/>
      <c r="E43" s="15"/>
      <c r="F43" s="126" t="e">
        <f>D43/E43</f>
        <v>#DIV/0!</v>
      </c>
      <c r="G43" s="60"/>
      <c r="H43" s="97" t="e">
        <f>F43*G43</f>
        <v>#DIV/0!</v>
      </c>
      <c r="I43" s="15"/>
      <c r="J43" s="15"/>
      <c r="K43" s="5"/>
      <c r="L43" s="15"/>
      <c r="M43" s="15"/>
      <c r="N43" s="15"/>
    </row>
    <row r="44" spans="2:14" x14ac:dyDescent="0.3">
      <c r="B44" s="172" t="s">
        <v>200</v>
      </c>
      <c r="C44" s="172"/>
      <c r="D44" s="57"/>
      <c r="E44" s="15"/>
      <c r="F44" s="126" t="e">
        <f>D44/E44</f>
        <v>#DIV/0!</v>
      </c>
      <c r="G44" s="60"/>
      <c r="H44" s="97" t="e">
        <f>F44*G44</f>
        <v>#DIV/0!</v>
      </c>
      <c r="I44" s="15"/>
      <c r="J44" s="15"/>
      <c r="K44" s="5"/>
      <c r="L44" s="15"/>
      <c r="M44" s="15"/>
      <c r="N44" s="15"/>
    </row>
    <row r="45" spans="2:14" x14ac:dyDescent="0.3">
      <c r="H45" s="107" t="e">
        <f>H43+H44</f>
        <v>#DIV/0!</v>
      </c>
    </row>
    <row r="47" spans="2:14" x14ac:dyDescent="0.3">
      <c r="C47"/>
    </row>
    <row r="54" spans="6:10" x14ac:dyDescent="0.3">
      <c r="F54" s="39"/>
    </row>
    <row r="56" spans="6:10" x14ac:dyDescent="0.3">
      <c r="J56" s="1" t="s">
        <v>138</v>
      </c>
    </row>
  </sheetData>
  <mergeCells count="25">
    <mergeCell ref="J39:K39"/>
    <mergeCell ref="J40:K40"/>
    <mergeCell ref="J41:K41"/>
    <mergeCell ref="B43:C43"/>
    <mergeCell ref="J33:K33"/>
    <mergeCell ref="J34:K34"/>
    <mergeCell ref="J35:K35"/>
    <mergeCell ref="J36:K36"/>
    <mergeCell ref="J38:K38"/>
    <mergeCell ref="B44:C44"/>
    <mergeCell ref="B3:F3"/>
    <mergeCell ref="G3:I3"/>
    <mergeCell ref="J3:N3"/>
    <mergeCell ref="B1:F1"/>
    <mergeCell ref="H1:I1"/>
    <mergeCell ref="K1:L1"/>
    <mergeCell ref="B2:C2"/>
    <mergeCell ref="H2:I2"/>
    <mergeCell ref="J37:K37"/>
    <mergeCell ref="G14:I14"/>
    <mergeCell ref="H15:I15"/>
    <mergeCell ref="H16:I16"/>
    <mergeCell ref="G17:I17"/>
    <mergeCell ref="J32:K32"/>
    <mergeCell ref="L32:M32"/>
  </mergeCells>
  <conditionalFormatting sqref="K1:L1">
    <cfRule type="cellIs" dxfId="33" priority="2" operator="greaterThan">
      <formula>0</formula>
    </cfRule>
    <cfRule type="cellIs" dxfId="32" priority="3" operator="lessThan">
      <formula>0</formula>
    </cfRule>
  </conditionalFormatting>
  <conditionalFormatting sqref="L5:L6">
    <cfRule type="duplicateValues" dxfId="31" priority="1"/>
  </conditionalFormatting>
  <conditionalFormatting sqref="L7:L22">
    <cfRule type="duplicateValues" dxfId="30" priority="4"/>
  </conditionalFormatting>
  <conditionalFormatting sqref="M5:M22">
    <cfRule type="duplicateValues" dxfId="29" priority="5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E841-7702-478F-8CE2-6F66B0872426}">
  <dimension ref="B1:N56"/>
  <sheetViews>
    <sheetView zoomScale="105" zoomScaleNormal="100"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2.33203125" style="1" customWidth="1"/>
    <col min="2" max="2" width="3" style="6" bestFit="1" customWidth="1"/>
    <col min="3" max="3" width="12.88671875" style="6" customWidth="1"/>
    <col min="4" max="4" width="11.6640625" style="1" customWidth="1"/>
    <col min="5" max="5" width="15.5546875" style="1" customWidth="1"/>
    <col min="6" max="6" width="27.5546875" style="1" bestFit="1" customWidth="1"/>
    <col min="7" max="7" width="10.5546875" style="1" bestFit="1" customWidth="1"/>
    <col min="8" max="8" width="14.77734375" style="1" bestFit="1" customWidth="1"/>
    <col min="9" max="9" width="9.77734375" style="1" customWidth="1"/>
    <col min="10" max="10" width="8.33203125" style="1" customWidth="1"/>
    <col min="11" max="11" width="10.6640625" style="1" bestFit="1" customWidth="1"/>
    <col min="12" max="12" width="40" style="1" bestFit="1" customWidth="1"/>
    <col min="13" max="13" width="15.88671875" style="1" customWidth="1"/>
    <col min="14" max="14" width="22.5546875" style="1" customWidth="1"/>
    <col min="15" max="16384" width="8.88671875" style="1"/>
  </cols>
  <sheetData>
    <row r="1" spans="2:14" ht="16.2" thickBot="1" x14ac:dyDescent="0.35">
      <c r="B1" s="186" t="s">
        <v>248</v>
      </c>
      <c r="C1" s="187"/>
      <c r="D1" s="187"/>
      <c r="E1" s="187"/>
      <c r="F1" s="188"/>
      <c r="G1" s="16" t="s">
        <v>25</v>
      </c>
      <c r="H1" s="176">
        <v>46016</v>
      </c>
      <c r="I1" s="177"/>
      <c r="J1" s="17" t="s">
        <v>15</v>
      </c>
      <c r="K1" s="189">
        <f>M2-E2</f>
        <v>-469722.5</v>
      </c>
      <c r="L1" s="190"/>
      <c r="M1" s="18"/>
      <c r="N1" s="19"/>
    </row>
    <row r="2" spans="2:14" ht="15.6" x14ac:dyDescent="0.3">
      <c r="B2" s="191"/>
      <c r="C2" s="192"/>
      <c r="D2" s="13" t="s">
        <v>14</v>
      </c>
      <c r="E2" s="12">
        <f>SUM(E5:E30)</f>
        <v>585000</v>
      </c>
      <c r="F2" s="20"/>
      <c r="G2" s="31" t="s">
        <v>32</v>
      </c>
      <c r="H2" s="178" t="s">
        <v>262</v>
      </c>
      <c r="I2" s="193"/>
      <c r="J2" s="37"/>
      <c r="K2" s="10"/>
      <c r="L2" s="11" t="s">
        <v>14</v>
      </c>
      <c r="M2" s="12">
        <f>SUM(M5:M22)</f>
        <v>115277.5</v>
      </c>
      <c r="N2" s="20"/>
    </row>
    <row r="3" spans="2:14" x14ac:dyDescent="0.3">
      <c r="B3" s="194" t="s">
        <v>36</v>
      </c>
      <c r="C3" s="195"/>
      <c r="D3" s="196"/>
      <c r="E3" s="196"/>
      <c r="F3" s="197"/>
      <c r="G3" s="180" t="s">
        <v>33</v>
      </c>
      <c r="H3" s="181"/>
      <c r="I3" s="181"/>
      <c r="J3" s="194" t="s">
        <v>37</v>
      </c>
      <c r="K3" s="195"/>
      <c r="L3" s="196"/>
      <c r="M3" s="196"/>
      <c r="N3" s="197"/>
    </row>
    <row r="4" spans="2:14" x14ac:dyDescent="0.3">
      <c r="B4" s="40" t="s">
        <v>0</v>
      </c>
      <c r="C4" s="2" t="s">
        <v>3</v>
      </c>
      <c r="D4" s="3" t="s">
        <v>1</v>
      </c>
      <c r="E4" s="3" t="s">
        <v>13</v>
      </c>
      <c r="F4" s="22" t="s">
        <v>2</v>
      </c>
      <c r="G4" s="21" t="s">
        <v>3</v>
      </c>
      <c r="H4" s="99" t="s">
        <v>26</v>
      </c>
      <c r="I4" s="99" t="s">
        <v>32</v>
      </c>
      <c r="J4" s="40" t="s">
        <v>0</v>
      </c>
      <c r="K4" s="2" t="s">
        <v>3</v>
      </c>
      <c r="L4" s="3" t="s">
        <v>1</v>
      </c>
      <c r="M4" s="3" t="s">
        <v>13</v>
      </c>
      <c r="N4" s="22" t="s">
        <v>2</v>
      </c>
    </row>
    <row r="5" spans="2:14" x14ac:dyDescent="0.3">
      <c r="B5" s="40">
        <v>1</v>
      </c>
      <c r="C5" s="7">
        <v>46016</v>
      </c>
      <c r="D5" s="26" t="s">
        <v>19</v>
      </c>
      <c r="E5" s="9">
        <v>288000</v>
      </c>
      <c r="F5" s="23" t="s">
        <v>246</v>
      </c>
      <c r="G5" s="43">
        <v>46049</v>
      </c>
      <c r="H5" s="44">
        <v>518</v>
      </c>
      <c r="I5" s="47" t="str">
        <f>IF(ISBLANK(G5),"",CONCATENATE(G5-$H$1+1," days"))</f>
        <v>34 days</v>
      </c>
      <c r="J5" s="21">
        <v>1</v>
      </c>
      <c r="K5" s="43">
        <v>46046</v>
      </c>
      <c r="L5" s="3" t="s">
        <v>251</v>
      </c>
      <c r="M5" s="5">
        <v>0</v>
      </c>
      <c r="N5" s="22" t="s">
        <v>247</v>
      </c>
    </row>
    <row r="6" spans="2:14" x14ac:dyDescent="0.3">
      <c r="B6" s="40">
        <v>2</v>
      </c>
      <c r="C6" s="7">
        <v>46016</v>
      </c>
      <c r="D6" s="3" t="s">
        <v>244</v>
      </c>
      <c r="E6" s="5">
        <v>13000</v>
      </c>
      <c r="F6" s="23"/>
      <c r="G6" s="43"/>
      <c r="H6" s="44"/>
      <c r="I6" s="47" t="str">
        <f t="shared" ref="I6:I13" si="0">IF(ISBLANK(G6),"",CONCATENATE(G6-$H$1+1," days"))</f>
        <v/>
      </c>
      <c r="J6" s="21">
        <v>2</v>
      </c>
      <c r="K6" s="4">
        <v>46049</v>
      </c>
      <c r="L6" s="3" t="s">
        <v>250</v>
      </c>
      <c r="M6" s="5">
        <v>115277.5</v>
      </c>
      <c r="N6" s="22" t="s">
        <v>247</v>
      </c>
    </row>
    <row r="7" spans="2:14" x14ac:dyDescent="0.3">
      <c r="B7" s="40">
        <v>3</v>
      </c>
      <c r="C7" s="7">
        <v>46046</v>
      </c>
      <c r="D7" s="3" t="s">
        <v>253</v>
      </c>
      <c r="E7" s="5">
        <v>250000</v>
      </c>
      <c r="F7" s="23"/>
      <c r="G7" s="43"/>
      <c r="H7" s="44"/>
      <c r="I7" s="47" t="str">
        <f t="shared" si="0"/>
        <v/>
      </c>
      <c r="J7" s="21">
        <v>3</v>
      </c>
      <c r="K7" s="4"/>
      <c r="L7" s="3"/>
      <c r="M7" s="5"/>
      <c r="N7" s="22"/>
    </row>
    <row r="8" spans="2:14" x14ac:dyDescent="0.3">
      <c r="B8" s="40">
        <v>4</v>
      </c>
      <c r="C8" s="7">
        <v>46046</v>
      </c>
      <c r="D8" s="3" t="s">
        <v>241</v>
      </c>
      <c r="E8" s="5">
        <v>34000</v>
      </c>
      <c r="F8" s="22"/>
      <c r="G8" s="43"/>
      <c r="H8" s="44"/>
      <c r="I8" s="47" t="str">
        <f t="shared" si="0"/>
        <v/>
      </c>
      <c r="J8" s="21">
        <v>4</v>
      </c>
      <c r="K8" s="4"/>
      <c r="L8" s="3"/>
      <c r="M8" s="5"/>
      <c r="N8" s="22"/>
    </row>
    <row r="9" spans="2:14" x14ac:dyDescent="0.3">
      <c r="B9" s="40">
        <v>5</v>
      </c>
      <c r="C9" s="127"/>
      <c r="D9" s="15"/>
      <c r="E9" s="15"/>
      <c r="F9" s="22"/>
      <c r="G9" s="46"/>
      <c r="H9" s="44"/>
      <c r="I9" s="47" t="str">
        <f t="shared" si="0"/>
        <v/>
      </c>
      <c r="J9" s="21">
        <v>5</v>
      </c>
      <c r="K9" s="4"/>
      <c r="L9" s="3"/>
      <c r="M9" s="5"/>
      <c r="N9" s="22"/>
    </row>
    <row r="10" spans="2:14" x14ac:dyDescent="0.3">
      <c r="B10" s="40">
        <v>6</v>
      </c>
      <c r="C10" s="127"/>
      <c r="D10" s="15"/>
      <c r="E10" s="15"/>
      <c r="F10" s="22"/>
      <c r="G10" s="46"/>
      <c r="H10" s="44"/>
      <c r="I10" s="47" t="str">
        <f t="shared" si="0"/>
        <v/>
      </c>
      <c r="J10" s="21">
        <v>6</v>
      </c>
      <c r="K10" s="2"/>
      <c r="L10" s="3"/>
      <c r="M10" s="5"/>
      <c r="N10" s="22"/>
    </row>
    <row r="11" spans="2:14" x14ac:dyDescent="0.3">
      <c r="B11" s="40">
        <v>7</v>
      </c>
      <c r="D11" s="15"/>
      <c r="E11" s="15"/>
      <c r="F11" s="22"/>
      <c r="G11" s="46"/>
      <c r="H11" s="44"/>
      <c r="I11" s="47" t="str">
        <f t="shared" si="0"/>
        <v/>
      </c>
      <c r="J11" s="21">
        <v>7</v>
      </c>
      <c r="K11" s="2"/>
      <c r="L11" s="3"/>
      <c r="M11" s="5"/>
      <c r="N11" s="22"/>
    </row>
    <row r="12" spans="2:14" x14ac:dyDescent="0.3">
      <c r="B12" s="40">
        <v>8</v>
      </c>
      <c r="C12" s="7"/>
      <c r="D12" s="3"/>
      <c r="E12" s="5"/>
      <c r="F12" s="55"/>
      <c r="G12" s="46"/>
      <c r="H12" s="109"/>
      <c r="I12" s="121" t="str">
        <f t="shared" si="0"/>
        <v/>
      </c>
      <c r="J12" s="40">
        <v>8</v>
      </c>
      <c r="K12" s="2"/>
      <c r="L12" s="3"/>
      <c r="M12" s="5"/>
      <c r="N12" s="22"/>
    </row>
    <row r="13" spans="2:14" x14ac:dyDescent="0.3">
      <c r="B13" s="40">
        <v>9</v>
      </c>
      <c r="C13" s="7"/>
      <c r="D13" s="3"/>
      <c r="E13" s="5"/>
      <c r="F13" s="55"/>
      <c r="G13" s="46"/>
      <c r="H13" s="109"/>
      <c r="I13" s="121" t="str">
        <f t="shared" si="0"/>
        <v/>
      </c>
      <c r="J13" s="40">
        <v>9</v>
      </c>
      <c r="K13" s="2"/>
      <c r="L13" s="3"/>
      <c r="M13" s="5"/>
      <c r="N13" s="22"/>
    </row>
    <row r="14" spans="2:14" ht="15" thickBot="1" x14ac:dyDescent="0.35">
      <c r="B14" s="40">
        <v>10</v>
      </c>
      <c r="C14" s="7"/>
      <c r="D14" s="3"/>
      <c r="E14" s="5"/>
      <c r="F14" s="67"/>
      <c r="G14" s="173" t="s">
        <v>57</v>
      </c>
      <c r="H14" s="174"/>
      <c r="I14" s="175"/>
      <c r="J14" s="21">
        <v>10</v>
      </c>
      <c r="K14" s="2"/>
      <c r="L14" s="3"/>
      <c r="M14" s="5"/>
      <c r="N14" s="22"/>
    </row>
    <row r="15" spans="2:14" ht="15" thickBot="1" x14ac:dyDescent="0.35">
      <c r="B15" s="40">
        <v>11</v>
      </c>
      <c r="C15" s="7"/>
      <c r="D15" s="3"/>
      <c r="E15" s="5"/>
      <c r="F15" s="22"/>
      <c r="G15" s="16" t="s">
        <v>25</v>
      </c>
      <c r="H15" s="176">
        <v>46016</v>
      </c>
      <c r="I15" s="177"/>
      <c r="J15" s="21">
        <v>11</v>
      </c>
      <c r="K15" s="2"/>
      <c r="L15" s="3"/>
      <c r="M15" s="5"/>
      <c r="N15" s="22"/>
    </row>
    <row r="16" spans="2:14" x14ac:dyDescent="0.3">
      <c r="B16" s="40">
        <v>12</v>
      </c>
      <c r="C16" s="7"/>
      <c r="D16" s="3"/>
      <c r="E16" s="5"/>
      <c r="F16" s="22"/>
      <c r="G16" s="31" t="s">
        <v>32</v>
      </c>
      <c r="H16" s="178" t="s">
        <v>263</v>
      </c>
      <c r="I16" s="179"/>
      <c r="J16" s="21">
        <v>12</v>
      </c>
      <c r="K16" s="2"/>
      <c r="L16" s="3"/>
      <c r="M16" s="5"/>
      <c r="N16" s="22"/>
    </row>
    <row r="17" spans="2:14" x14ac:dyDescent="0.3">
      <c r="B17" s="40">
        <v>13</v>
      </c>
      <c r="C17" s="7"/>
      <c r="D17" s="3"/>
      <c r="E17" s="5"/>
      <c r="F17" s="22"/>
      <c r="G17" s="180" t="s">
        <v>33</v>
      </c>
      <c r="H17" s="181"/>
      <c r="I17" s="182"/>
      <c r="J17" s="21">
        <v>13</v>
      </c>
      <c r="K17" s="2"/>
      <c r="L17" s="3"/>
      <c r="M17" s="5"/>
      <c r="N17" s="22"/>
    </row>
    <row r="18" spans="2:14" x14ac:dyDescent="0.3">
      <c r="B18" s="40">
        <v>14</v>
      </c>
      <c r="C18" s="7"/>
      <c r="D18" s="3"/>
      <c r="E18" s="5"/>
      <c r="F18" s="22"/>
      <c r="G18" s="21" t="s">
        <v>3</v>
      </c>
      <c r="H18" s="2" t="s">
        <v>26</v>
      </c>
      <c r="I18" s="2" t="s">
        <v>32</v>
      </c>
      <c r="J18" s="40">
        <v>14</v>
      </c>
      <c r="K18" s="2"/>
      <c r="L18" s="3"/>
      <c r="M18" s="5"/>
      <c r="N18" s="22"/>
    </row>
    <row r="19" spans="2:14" x14ac:dyDescent="0.3">
      <c r="B19" s="40">
        <v>15</v>
      </c>
      <c r="C19" s="7"/>
      <c r="D19" s="3"/>
      <c r="E19" s="5"/>
      <c r="F19" s="22"/>
      <c r="G19" s="43"/>
      <c r="H19" s="44"/>
      <c r="I19" s="47" t="str">
        <f>IF(ISBLANK(G19),"",CONCATENATE(G19-$H$15+1," days"))</f>
        <v/>
      </c>
      <c r="J19" s="21">
        <v>15</v>
      </c>
      <c r="K19" s="2"/>
      <c r="L19" s="3"/>
      <c r="M19" s="5"/>
      <c r="N19" s="22"/>
    </row>
    <row r="20" spans="2:14" x14ac:dyDescent="0.3">
      <c r="B20" s="40">
        <v>16</v>
      </c>
      <c r="C20" s="4"/>
      <c r="D20" s="3"/>
      <c r="E20" s="5"/>
      <c r="F20" s="22"/>
      <c r="G20" s="43"/>
      <c r="H20" s="44"/>
      <c r="I20" s="47" t="str">
        <f t="shared" ref="I20:I25" si="1">IF(ISBLANK(G20),"",CONCATENATE(G20-$H$15+1," days"))</f>
        <v/>
      </c>
      <c r="J20" s="21">
        <v>16</v>
      </c>
      <c r="K20" s="2"/>
      <c r="L20" s="3"/>
      <c r="M20" s="5"/>
      <c r="N20" s="22"/>
    </row>
    <row r="21" spans="2:14" x14ac:dyDescent="0.3">
      <c r="B21" s="40">
        <v>17</v>
      </c>
      <c r="C21" s="4"/>
      <c r="D21" s="3"/>
      <c r="E21" s="5"/>
      <c r="F21" s="22"/>
      <c r="G21" s="43"/>
      <c r="H21" s="44"/>
      <c r="I21" s="47" t="str">
        <f t="shared" si="1"/>
        <v/>
      </c>
      <c r="J21" s="21">
        <v>17</v>
      </c>
      <c r="K21" s="2"/>
      <c r="L21" s="3"/>
      <c r="M21" s="5"/>
      <c r="N21" s="22"/>
    </row>
    <row r="22" spans="2:14" x14ac:dyDescent="0.3">
      <c r="B22" s="40">
        <v>18</v>
      </c>
      <c r="C22" s="4"/>
      <c r="D22" s="3"/>
      <c r="E22" s="5"/>
      <c r="F22" s="22"/>
      <c r="G22" s="46"/>
      <c r="H22" s="44"/>
      <c r="I22" s="47" t="str">
        <f t="shared" si="1"/>
        <v/>
      </c>
      <c r="J22" s="21">
        <v>18</v>
      </c>
      <c r="K22" s="2"/>
      <c r="L22" s="3"/>
      <c r="M22" s="5"/>
      <c r="N22" s="22"/>
    </row>
    <row r="23" spans="2:14" x14ac:dyDescent="0.3">
      <c r="B23" s="40">
        <v>19</v>
      </c>
      <c r="C23" s="4"/>
      <c r="D23" s="3"/>
      <c r="E23" s="5"/>
      <c r="F23" s="22"/>
      <c r="G23" s="46"/>
      <c r="H23" s="44"/>
      <c r="I23" s="47" t="str">
        <f t="shared" si="1"/>
        <v/>
      </c>
      <c r="J23" s="21">
        <v>19</v>
      </c>
      <c r="K23" s="15"/>
      <c r="L23" s="15"/>
      <c r="M23" s="15"/>
      <c r="N23" s="33"/>
    </row>
    <row r="24" spans="2:14" x14ac:dyDescent="0.3">
      <c r="B24" s="40">
        <v>20</v>
      </c>
      <c r="C24" s="4"/>
      <c r="D24" s="3"/>
      <c r="E24" s="5"/>
      <c r="F24" s="22"/>
      <c r="G24" s="34"/>
      <c r="H24" s="44"/>
      <c r="I24" s="47" t="str">
        <f t="shared" si="1"/>
        <v/>
      </c>
      <c r="J24" s="21">
        <v>20</v>
      </c>
      <c r="K24" s="15"/>
      <c r="L24" s="15"/>
      <c r="M24" s="15"/>
      <c r="N24" s="33"/>
    </row>
    <row r="25" spans="2:14" x14ac:dyDescent="0.3">
      <c r="B25" s="40">
        <v>21</v>
      </c>
      <c r="C25" s="4"/>
      <c r="D25" s="3"/>
      <c r="E25" s="5"/>
      <c r="F25" s="22"/>
      <c r="G25" s="34"/>
      <c r="H25" s="44"/>
      <c r="I25" s="47" t="str">
        <f t="shared" si="1"/>
        <v/>
      </c>
      <c r="J25" s="21">
        <v>21</v>
      </c>
      <c r="K25" s="15"/>
      <c r="L25" s="15"/>
      <c r="M25" s="15"/>
      <c r="N25" s="33"/>
    </row>
    <row r="26" spans="2:14" x14ac:dyDescent="0.3">
      <c r="B26" s="40">
        <v>22</v>
      </c>
      <c r="C26" s="4"/>
      <c r="D26" s="3"/>
      <c r="E26" s="5"/>
      <c r="F26" s="22"/>
      <c r="G26" s="34"/>
      <c r="H26" s="44"/>
      <c r="I26" s="47"/>
      <c r="J26" s="21">
        <v>22</v>
      </c>
      <c r="K26" s="15"/>
      <c r="L26" s="15"/>
      <c r="M26" s="15"/>
      <c r="N26" s="33"/>
    </row>
    <row r="27" spans="2:14" x14ac:dyDescent="0.3">
      <c r="B27" s="40">
        <v>23</v>
      </c>
      <c r="C27" s="4"/>
      <c r="D27" s="3"/>
      <c r="E27" s="5"/>
      <c r="F27" s="22"/>
      <c r="G27" s="34"/>
      <c r="H27" s="44"/>
      <c r="I27" s="47"/>
      <c r="J27" s="21">
        <v>23</v>
      </c>
      <c r="K27" s="15"/>
      <c r="L27" s="15"/>
      <c r="M27" s="15"/>
      <c r="N27" s="33"/>
    </row>
    <row r="28" spans="2:14" x14ac:dyDescent="0.3">
      <c r="B28" s="40">
        <v>24</v>
      </c>
      <c r="C28" s="4"/>
      <c r="D28" s="3"/>
      <c r="E28" s="5"/>
      <c r="F28" s="22"/>
      <c r="G28" s="34"/>
      <c r="H28" s="44"/>
      <c r="I28" s="47"/>
      <c r="J28" s="21">
        <v>24</v>
      </c>
      <c r="K28" s="15"/>
      <c r="L28" s="15"/>
      <c r="M28" s="15"/>
      <c r="N28" s="33"/>
    </row>
    <row r="29" spans="2:14" x14ac:dyDescent="0.3">
      <c r="B29" s="40">
        <v>25</v>
      </c>
      <c r="C29" s="69"/>
      <c r="D29" s="70"/>
      <c r="E29" s="71"/>
      <c r="F29" s="72"/>
      <c r="G29" s="73"/>
      <c r="H29" s="74"/>
      <c r="I29" s="75"/>
      <c r="J29" s="21">
        <v>25</v>
      </c>
      <c r="K29" s="68"/>
      <c r="L29" s="68"/>
      <c r="M29" s="68"/>
      <c r="N29" s="76"/>
    </row>
    <row r="30" spans="2:14" ht="15" thickBot="1" x14ac:dyDescent="0.35">
      <c r="B30" s="77"/>
      <c r="C30" s="27"/>
      <c r="D30" s="28"/>
      <c r="E30" s="61"/>
      <c r="F30" s="62"/>
      <c r="G30" s="35"/>
      <c r="H30" s="45"/>
      <c r="I30" s="49"/>
      <c r="J30" s="35"/>
      <c r="K30" s="38"/>
      <c r="L30" s="68"/>
      <c r="M30" s="68"/>
      <c r="N30" s="76"/>
    </row>
    <row r="31" spans="2:14" x14ac:dyDescent="0.3">
      <c r="B31" s="24"/>
      <c r="C31" s="25"/>
      <c r="D31" s="26"/>
      <c r="E31" s="64" t="s">
        <v>65</v>
      </c>
      <c r="F31" s="84">
        <v>990000</v>
      </c>
      <c r="G31" s="90" t="s">
        <v>186</v>
      </c>
      <c r="H31" s="84">
        <v>830000</v>
      </c>
      <c r="I31" s="59" t="s">
        <v>187</v>
      </c>
      <c r="J31" s="84">
        <v>160000</v>
      </c>
      <c r="K31" s="84"/>
      <c r="L31" s="96"/>
      <c r="M31" s="130"/>
      <c r="N31" s="15"/>
    </row>
    <row r="32" spans="2:14" x14ac:dyDescent="0.3">
      <c r="E32" s="59" t="s">
        <v>62</v>
      </c>
      <c r="F32" s="90" t="s">
        <v>54</v>
      </c>
      <c r="G32" s="90" t="s">
        <v>26</v>
      </c>
      <c r="H32" s="90" t="s">
        <v>95</v>
      </c>
      <c r="I32" s="90" t="s">
        <v>63</v>
      </c>
      <c r="J32" s="183" t="s">
        <v>64</v>
      </c>
      <c r="K32" s="183"/>
      <c r="L32" s="184" t="s">
        <v>158</v>
      </c>
      <c r="M32" s="185"/>
      <c r="N32" s="15"/>
    </row>
    <row r="33" spans="2:14" x14ac:dyDescent="0.3">
      <c r="E33" s="15" t="s">
        <v>250</v>
      </c>
      <c r="F33" s="57">
        <f>H33*G33</f>
        <v>918673</v>
      </c>
      <c r="G33" s="57">
        <v>518</v>
      </c>
      <c r="H33" s="65">
        <v>1773.5</v>
      </c>
      <c r="I33" s="60">
        <v>65</v>
      </c>
      <c r="J33" s="169">
        <f>H33*I33</f>
        <v>115277.5</v>
      </c>
      <c r="K33" s="169"/>
      <c r="L33" s="83" t="s">
        <v>60</v>
      </c>
      <c r="M33" s="131">
        <v>250000</v>
      </c>
      <c r="N33" s="15"/>
    </row>
    <row r="34" spans="2:14" x14ac:dyDescent="0.3">
      <c r="E34" s="15"/>
      <c r="F34" s="57">
        <f t="shared" ref="F34:F39" si="2">H34*G34</f>
        <v>0</v>
      </c>
      <c r="G34" s="57"/>
      <c r="H34" s="65"/>
      <c r="I34" s="60"/>
      <c r="J34" s="169">
        <f t="shared" ref="J34:J39" si="3">H34*I34</f>
        <v>0</v>
      </c>
      <c r="K34" s="169"/>
      <c r="L34" s="83"/>
      <c r="M34" s="131"/>
      <c r="N34" s="15"/>
    </row>
    <row r="35" spans="2:14" x14ac:dyDescent="0.3">
      <c r="C35" s="122"/>
      <c r="E35" s="15"/>
      <c r="F35" s="57">
        <f t="shared" si="2"/>
        <v>0</v>
      </c>
      <c r="G35" s="57"/>
      <c r="H35" s="65"/>
      <c r="I35" s="60"/>
      <c r="J35" s="169">
        <f t="shared" si="3"/>
        <v>0</v>
      </c>
      <c r="K35" s="169"/>
      <c r="L35" s="83"/>
      <c r="M35" s="131"/>
      <c r="N35" s="15" t="s">
        <v>138</v>
      </c>
    </row>
    <row r="36" spans="2:14" x14ac:dyDescent="0.3">
      <c r="E36" s="15"/>
      <c r="F36" s="57">
        <f t="shared" si="2"/>
        <v>0</v>
      </c>
      <c r="G36" s="57"/>
      <c r="H36" s="65"/>
      <c r="I36" s="60"/>
      <c r="J36" s="169">
        <f t="shared" si="3"/>
        <v>0</v>
      </c>
      <c r="K36" s="169"/>
      <c r="L36" s="2"/>
      <c r="M36" s="131"/>
      <c r="N36" s="15"/>
    </row>
    <row r="37" spans="2:14" x14ac:dyDescent="0.3">
      <c r="E37" s="15"/>
      <c r="F37" s="57">
        <f t="shared" si="2"/>
        <v>0</v>
      </c>
      <c r="G37" s="57"/>
      <c r="H37" s="65"/>
      <c r="I37" s="60"/>
      <c r="J37" s="169">
        <f t="shared" si="3"/>
        <v>0</v>
      </c>
      <c r="K37" s="169"/>
      <c r="L37" s="83"/>
      <c r="M37" s="131"/>
      <c r="N37" s="15"/>
    </row>
    <row r="38" spans="2:14" x14ac:dyDescent="0.3">
      <c r="E38" s="15"/>
      <c r="F38" s="57">
        <f t="shared" si="2"/>
        <v>0</v>
      </c>
      <c r="G38" s="57"/>
      <c r="H38" s="65"/>
      <c r="I38" s="60"/>
      <c r="J38" s="169">
        <f t="shared" si="3"/>
        <v>0</v>
      </c>
      <c r="K38" s="169"/>
      <c r="L38" s="83"/>
      <c r="M38" s="131"/>
      <c r="N38" s="15"/>
    </row>
    <row r="39" spans="2:14" x14ac:dyDescent="0.3">
      <c r="E39" s="15"/>
      <c r="F39" s="57">
        <f t="shared" si="2"/>
        <v>0</v>
      </c>
      <c r="G39" s="57"/>
      <c r="H39" s="65"/>
      <c r="I39" s="60"/>
      <c r="J39" s="169">
        <f t="shared" si="3"/>
        <v>0</v>
      </c>
      <c r="K39" s="169"/>
      <c r="L39" s="83"/>
      <c r="M39" s="131"/>
      <c r="N39" s="15"/>
    </row>
    <row r="40" spans="2:14" x14ac:dyDescent="0.3">
      <c r="E40" s="50" t="s">
        <v>61</v>
      </c>
      <c r="F40" s="58">
        <f>SUM(F33:F38)</f>
        <v>918673</v>
      </c>
      <c r="G40" s="58"/>
      <c r="H40" s="82">
        <f>SUM(H33:H39)</f>
        <v>1773.5</v>
      </c>
      <c r="I40" s="50"/>
      <c r="J40" s="170">
        <f>SUM(J33:J39)</f>
        <v>115277.5</v>
      </c>
      <c r="K40" s="170"/>
      <c r="L40" s="50" t="s">
        <v>88</v>
      </c>
      <c r="M40" s="132">
        <f>SUM(M33:M39)</f>
        <v>250000</v>
      </c>
      <c r="N40" s="15"/>
    </row>
    <row r="41" spans="2:14" ht="15" thickBot="1" x14ac:dyDescent="0.35">
      <c r="E41" s="50" t="s">
        <v>126</v>
      </c>
      <c r="F41" s="105" t="str">
        <f>CONCATENATE(ROUND((F40/F31)*100,2),"%")</f>
        <v>92.8%</v>
      </c>
      <c r="G41" s="15"/>
      <c r="H41" s="56"/>
      <c r="I41" s="15"/>
      <c r="J41" s="171"/>
      <c r="K41" s="171"/>
      <c r="L41" s="81" t="s">
        <v>89</v>
      </c>
      <c r="M41" s="101">
        <f>J40-M40</f>
        <v>-134722.5</v>
      </c>
      <c r="N41" s="15"/>
    </row>
    <row r="42" spans="2:14" x14ac:dyDescent="0.3">
      <c r="D42" s="39"/>
      <c r="L42" s="66"/>
      <c r="M42" s="39"/>
    </row>
    <row r="43" spans="2:14" x14ac:dyDescent="0.3">
      <c r="B43" s="172" t="s">
        <v>200</v>
      </c>
      <c r="C43" s="172"/>
      <c r="D43" s="57"/>
      <c r="E43" s="15"/>
      <c r="F43" s="126" t="e">
        <f>D43/E43</f>
        <v>#DIV/0!</v>
      </c>
      <c r="G43" s="60"/>
      <c r="H43" s="97" t="e">
        <f>F43*G43</f>
        <v>#DIV/0!</v>
      </c>
      <c r="I43" s="15"/>
      <c r="J43" s="15"/>
      <c r="K43" s="5"/>
      <c r="L43" s="15"/>
      <c r="M43" s="15"/>
      <c r="N43" s="15"/>
    </row>
    <row r="44" spans="2:14" x14ac:dyDescent="0.3">
      <c r="B44" s="172" t="s">
        <v>200</v>
      </c>
      <c r="C44" s="172"/>
      <c r="D44" s="57"/>
      <c r="E44" s="15"/>
      <c r="F44" s="126" t="e">
        <f>D44/E44</f>
        <v>#DIV/0!</v>
      </c>
      <c r="G44" s="60"/>
      <c r="H44" s="97" t="e">
        <f>F44*G44</f>
        <v>#DIV/0!</v>
      </c>
      <c r="I44" s="15"/>
      <c r="J44" s="15"/>
      <c r="K44" s="5"/>
      <c r="L44" s="15"/>
      <c r="M44" s="15"/>
      <c r="N44" s="15"/>
    </row>
    <row r="45" spans="2:14" x14ac:dyDescent="0.3">
      <c r="H45" s="107" t="e">
        <f>H43+H44</f>
        <v>#DIV/0!</v>
      </c>
    </row>
    <row r="47" spans="2:14" x14ac:dyDescent="0.3">
      <c r="C47"/>
    </row>
    <row r="54" spans="6:10" x14ac:dyDescent="0.3">
      <c r="F54" s="39"/>
    </row>
    <row r="56" spans="6:10" x14ac:dyDescent="0.3">
      <c r="J56" s="1" t="s">
        <v>138</v>
      </c>
    </row>
  </sheetData>
  <mergeCells count="25">
    <mergeCell ref="L32:M32"/>
    <mergeCell ref="B1:F1"/>
    <mergeCell ref="H1:I1"/>
    <mergeCell ref="K1:L1"/>
    <mergeCell ref="B2:C2"/>
    <mergeCell ref="H2:I2"/>
    <mergeCell ref="B3:F3"/>
    <mergeCell ref="G3:I3"/>
    <mergeCell ref="J3:N3"/>
    <mergeCell ref="J38:K38"/>
    <mergeCell ref="G14:I14"/>
    <mergeCell ref="H15:I15"/>
    <mergeCell ref="H16:I16"/>
    <mergeCell ref="G17:I17"/>
    <mergeCell ref="J32:K32"/>
    <mergeCell ref="J33:K33"/>
    <mergeCell ref="J34:K34"/>
    <mergeCell ref="J35:K35"/>
    <mergeCell ref="J36:K36"/>
    <mergeCell ref="J37:K37"/>
    <mergeCell ref="J39:K39"/>
    <mergeCell ref="J40:K40"/>
    <mergeCell ref="J41:K41"/>
    <mergeCell ref="B43:C43"/>
    <mergeCell ref="B44:C44"/>
  </mergeCells>
  <conditionalFormatting sqref="K1:L1">
    <cfRule type="cellIs" dxfId="28" priority="2" operator="greaterThan">
      <formula>0</formula>
    </cfRule>
    <cfRule type="cellIs" dxfId="27" priority="3" operator="lessThan">
      <formula>0</formula>
    </cfRule>
  </conditionalFormatting>
  <conditionalFormatting sqref="L5:L6">
    <cfRule type="duplicateValues" dxfId="26" priority="1"/>
  </conditionalFormatting>
  <conditionalFormatting sqref="L7:L22">
    <cfRule type="duplicateValues" dxfId="25" priority="4"/>
  </conditionalFormatting>
  <conditionalFormatting sqref="M5:M22">
    <cfRule type="duplicateValues" dxfId="24" priority="5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1FE6-E0E4-43F0-8D9C-DE2275D7EDC6}">
  <dimension ref="B1:N56"/>
  <sheetViews>
    <sheetView zoomScale="95" zoomScaleNormal="100" workbookViewId="0">
      <pane ySplit="1" topLeftCell="A19" activePane="bottomLeft" state="frozen"/>
      <selection pane="bottomLeft" activeCell="H46" sqref="H46"/>
    </sheetView>
  </sheetViews>
  <sheetFormatPr defaultRowHeight="14.4" x14ac:dyDescent="0.3"/>
  <cols>
    <col min="1" max="1" width="2.6640625" style="1" customWidth="1"/>
    <col min="2" max="2" width="3" style="6" bestFit="1" customWidth="1"/>
    <col min="3" max="3" width="12.88671875" style="6" customWidth="1"/>
    <col min="4" max="4" width="11.6640625" style="1" customWidth="1"/>
    <col min="5" max="5" width="20.21875" style="1" bestFit="1" customWidth="1"/>
    <col min="6" max="6" width="27.5546875" style="1" bestFit="1" customWidth="1"/>
    <col min="7" max="7" width="10.5546875" style="1" bestFit="1" customWidth="1"/>
    <col min="8" max="8" width="14.77734375" style="1" bestFit="1" customWidth="1"/>
    <col min="9" max="9" width="9.77734375" style="1" customWidth="1"/>
    <col min="10" max="10" width="8.33203125" style="1" customWidth="1"/>
    <col min="11" max="11" width="10.6640625" style="1" bestFit="1" customWidth="1"/>
    <col min="12" max="12" width="40" style="1" bestFit="1" customWidth="1"/>
    <col min="13" max="13" width="15.88671875" style="1" customWidth="1"/>
    <col min="14" max="14" width="22.5546875" style="1" customWidth="1"/>
    <col min="15" max="16384" width="8.88671875" style="1"/>
  </cols>
  <sheetData>
    <row r="1" spans="2:14" ht="16.2" thickBot="1" x14ac:dyDescent="0.35">
      <c r="B1" s="186" t="s">
        <v>249</v>
      </c>
      <c r="C1" s="187"/>
      <c r="D1" s="187"/>
      <c r="E1" s="187"/>
      <c r="F1" s="188"/>
      <c r="G1" s="16" t="s">
        <v>25</v>
      </c>
      <c r="H1" s="176">
        <v>46068</v>
      </c>
      <c r="I1" s="177"/>
      <c r="J1" s="17" t="s">
        <v>15</v>
      </c>
      <c r="K1" s="189">
        <f>M2-E2</f>
        <v>610376</v>
      </c>
      <c r="L1" s="190"/>
      <c r="M1" s="18"/>
      <c r="N1" s="19"/>
    </row>
    <row r="2" spans="2:14" ht="15.6" x14ac:dyDescent="0.3">
      <c r="B2" s="191"/>
      <c r="C2" s="192"/>
      <c r="D2" s="13" t="s">
        <v>14</v>
      </c>
      <c r="E2" s="12">
        <f>SUM(E5:E30)</f>
        <v>1578900</v>
      </c>
      <c r="F2" s="20"/>
      <c r="G2" s="31" t="s">
        <v>32</v>
      </c>
      <c r="H2" s="178" t="s">
        <v>275</v>
      </c>
      <c r="I2" s="193"/>
      <c r="J2" s="37"/>
      <c r="K2" s="10"/>
      <c r="L2" s="11" t="s">
        <v>14</v>
      </c>
      <c r="M2" s="12">
        <f>SUM(M5:M22)</f>
        <v>2189276</v>
      </c>
      <c r="N2" s="20"/>
    </row>
    <row r="3" spans="2:14" x14ac:dyDescent="0.3">
      <c r="B3" s="194" t="s">
        <v>36</v>
      </c>
      <c r="C3" s="195"/>
      <c r="D3" s="196"/>
      <c r="E3" s="196"/>
      <c r="F3" s="197"/>
      <c r="G3" s="180" t="s">
        <v>33</v>
      </c>
      <c r="H3" s="181"/>
      <c r="I3" s="181"/>
      <c r="J3" s="194" t="s">
        <v>37</v>
      </c>
      <c r="K3" s="195"/>
      <c r="L3" s="196"/>
      <c r="M3" s="196"/>
      <c r="N3" s="197"/>
    </row>
    <row r="4" spans="2:14" x14ac:dyDescent="0.3">
      <c r="B4" s="40" t="s">
        <v>0</v>
      </c>
      <c r="C4" s="2" t="s">
        <v>3</v>
      </c>
      <c r="D4" s="3" t="s">
        <v>1</v>
      </c>
      <c r="E4" s="3" t="s">
        <v>13</v>
      </c>
      <c r="F4" s="22" t="s">
        <v>2</v>
      </c>
      <c r="G4" s="21" t="s">
        <v>3</v>
      </c>
      <c r="H4" s="99" t="s">
        <v>26</v>
      </c>
      <c r="I4" s="99" t="s">
        <v>32</v>
      </c>
      <c r="J4" s="40" t="s">
        <v>0</v>
      </c>
      <c r="K4" s="2" t="s">
        <v>3</v>
      </c>
      <c r="L4" s="3" t="s">
        <v>1</v>
      </c>
      <c r="M4" s="3" t="s">
        <v>13</v>
      </c>
      <c r="N4" s="22" t="s">
        <v>2</v>
      </c>
    </row>
    <row r="5" spans="2:14" x14ac:dyDescent="0.3">
      <c r="B5" s="40">
        <v>1</v>
      </c>
      <c r="C5" s="7">
        <v>46068</v>
      </c>
      <c r="D5" s="26" t="s">
        <v>19</v>
      </c>
      <c r="E5" s="9">
        <v>256000</v>
      </c>
      <c r="F5" s="23"/>
      <c r="G5" s="43">
        <v>46124</v>
      </c>
      <c r="H5" s="44">
        <v>166</v>
      </c>
      <c r="I5" s="47" t="str">
        <f>IF(ISBLANK(G5),"",CONCATENATE(G5-$H$1+1," days"))</f>
        <v>57 days</v>
      </c>
      <c r="J5" s="21">
        <v>1</v>
      </c>
      <c r="K5" s="43">
        <v>46132</v>
      </c>
      <c r="L5" s="3" t="s">
        <v>269</v>
      </c>
      <c r="M5" s="5">
        <v>456768</v>
      </c>
      <c r="N5" s="22"/>
    </row>
    <row r="6" spans="2:14" x14ac:dyDescent="0.3">
      <c r="B6" s="40">
        <v>2</v>
      </c>
      <c r="C6" s="7">
        <v>46068</v>
      </c>
      <c r="D6" s="3" t="s">
        <v>244</v>
      </c>
      <c r="E6" s="5">
        <v>33000</v>
      </c>
      <c r="F6" s="23" t="s">
        <v>280</v>
      </c>
      <c r="G6" s="43">
        <v>46127</v>
      </c>
      <c r="H6" s="44">
        <v>150</v>
      </c>
      <c r="I6" s="47" t="str">
        <f t="shared" ref="I6:I13" si="0">IF(ISBLANK(G6),"",CONCATENATE(G6-$H$1+1," days"))</f>
        <v>60 days</v>
      </c>
      <c r="J6" s="21">
        <v>2</v>
      </c>
      <c r="K6" s="4">
        <v>46138</v>
      </c>
      <c r="L6" s="3" t="s">
        <v>271</v>
      </c>
      <c r="M6" s="5">
        <v>1524733</v>
      </c>
      <c r="N6" s="22"/>
    </row>
    <row r="7" spans="2:14" x14ac:dyDescent="0.3">
      <c r="B7" s="40">
        <v>3</v>
      </c>
      <c r="C7" s="7">
        <v>46072</v>
      </c>
      <c r="D7" s="3" t="s">
        <v>29</v>
      </c>
      <c r="E7" s="5">
        <v>38672</v>
      </c>
      <c r="F7" s="23"/>
      <c r="G7" s="43">
        <v>46131</v>
      </c>
      <c r="H7" s="44">
        <v>133</v>
      </c>
      <c r="I7" s="47" t="str">
        <f t="shared" si="0"/>
        <v>64 days</v>
      </c>
      <c r="J7" s="21">
        <v>3</v>
      </c>
      <c r="K7" s="4">
        <v>46138</v>
      </c>
      <c r="L7" s="3" t="s">
        <v>272</v>
      </c>
      <c r="M7" s="5">
        <v>207775</v>
      </c>
      <c r="N7" s="22"/>
    </row>
    <row r="8" spans="2:14" x14ac:dyDescent="0.3">
      <c r="B8" s="40">
        <v>4</v>
      </c>
      <c r="C8" s="7">
        <v>46067</v>
      </c>
      <c r="D8" s="3" t="s">
        <v>29</v>
      </c>
      <c r="E8" s="5">
        <v>15813</v>
      </c>
      <c r="F8" s="22"/>
      <c r="G8" s="43">
        <v>46132</v>
      </c>
      <c r="H8" s="44">
        <v>131</v>
      </c>
      <c r="I8" s="47" t="str">
        <f t="shared" si="0"/>
        <v>65 days</v>
      </c>
      <c r="J8" s="21">
        <v>4</v>
      </c>
      <c r="K8" s="4"/>
      <c r="L8" s="3"/>
      <c r="M8" s="5"/>
      <c r="N8" s="22"/>
    </row>
    <row r="9" spans="2:14" x14ac:dyDescent="0.3">
      <c r="B9" s="40">
        <v>5</v>
      </c>
      <c r="C9" s="127">
        <v>46107</v>
      </c>
      <c r="D9" s="3" t="s">
        <v>220</v>
      </c>
      <c r="E9" s="9">
        <v>6000</v>
      </c>
      <c r="F9" s="22"/>
      <c r="G9" s="46">
        <v>46136</v>
      </c>
      <c r="H9" s="44">
        <v>126</v>
      </c>
      <c r="I9" s="47" t="str">
        <f t="shared" si="0"/>
        <v>69 days</v>
      </c>
      <c r="J9" s="21">
        <v>5</v>
      </c>
      <c r="K9" s="4"/>
      <c r="L9" s="3"/>
      <c r="M9" s="5"/>
      <c r="N9" s="22"/>
    </row>
    <row r="10" spans="2:14" x14ac:dyDescent="0.3">
      <c r="B10" s="40">
        <v>6</v>
      </c>
      <c r="C10" s="127">
        <v>46111</v>
      </c>
      <c r="D10" s="3" t="s">
        <v>60</v>
      </c>
      <c r="E10" s="9">
        <v>1030055</v>
      </c>
      <c r="F10" s="22" t="s">
        <v>270</v>
      </c>
      <c r="G10" s="46">
        <v>46137</v>
      </c>
      <c r="H10" s="44">
        <v>125</v>
      </c>
      <c r="I10" s="47" t="str">
        <f t="shared" si="0"/>
        <v>70 days</v>
      </c>
      <c r="J10" s="21">
        <v>6</v>
      </c>
      <c r="K10" s="2"/>
      <c r="L10" s="3"/>
      <c r="M10" s="5"/>
      <c r="N10" s="22"/>
    </row>
    <row r="11" spans="2:14" x14ac:dyDescent="0.3">
      <c r="B11" s="40">
        <v>7</v>
      </c>
      <c r="C11" s="7">
        <v>46127</v>
      </c>
      <c r="D11" s="3" t="s">
        <v>29</v>
      </c>
      <c r="E11" s="5">
        <v>29560</v>
      </c>
      <c r="F11" s="22"/>
      <c r="G11" s="46">
        <v>46138</v>
      </c>
      <c r="H11" s="44">
        <v>121</v>
      </c>
      <c r="I11" s="47" t="str">
        <f t="shared" si="0"/>
        <v>71 days</v>
      </c>
      <c r="J11" s="21">
        <v>7</v>
      </c>
      <c r="K11" s="2"/>
      <c r="L11" s="3"/>
      <c r="M11" s="5"/>
      <c r="N11" s="22"/>
    </row>
    <row r="12" spans="2:14" x14ac:dyDescent="0.3">
      <c r="B12" s="40">
        <v>8</v>
      </c>
      <c r="C12" s="7">
        <v>46127</v>
      </c>
      <c r="D12" s="3" t="s">
        <v>49</v>
      </c>
      <c r="E12" s="5">
        <v>100000</v>
      </c>
      <c r="F12" s="55"/>
      <c r="G12" s="46"/>
      <c r="H12" s="109"/>
      <c r="I12" s="121" t="str">
        <f t="shared" si="0"/>
        <v/>
      </c>
      <c r="J12" s="40">
        <v>8</v>
      </c>
      <c r="K12" s="2"/>
      <c r="L12" s="3"/>
      <c r="M12" s="5"/>
      <c r="N12" s="22"/>
    </row>
    <row r="13" spans="2:14" x14ac:dyDescent="0.3">
      <c r="B13" s="40">
        <v>9</v>
      </c>
      <c r="C13" s="7">
        <v>46138</v>
      </c>
      <c r="D13" s="3" t="s">
        <v>276</v>
      </c>
      <c r="E13" s="5">
        <v>20800</v>
      </c>
      <c r="F13" s="55"/>
      <c r="G13" s="46"/>
      <c r="H13" s="109"/>
      <c r="I13" s="121" t="str">
        <f t="shared" si="0"/>
        <v/>
      </c>
      <c r="J13" s="40">
        <v>9</v>
      </c>
      <c r="K13" s="2"/>
      <c r="L13" s="3"/>
      <c r="M13" s="5"/>
      <c r="N13" s="22"/>
    </row>
    <row r="14" spans="2:14" ht="15" thickBot="1" x14ac:dyDescent="0.35">
      <c r="B14" s="40">
        <v>10</v>
      </c>
      <c r="C14" s="7">
        <v>46138</v>
      </c>
      <c r="D14" s="3" t="s">
        <v>277</v>
      </c>
      <c r="E14" s="9">
        <v>4000</v>
      </c>
      <c r="F14" s="67"/>
      <c r="G14" s="173" t="s">
        <v>57</v>
      </c>
      <c r="H14" s="174"/>
      <c r="I14" s="175"/>
      <c r="J14" s="21">
        <v>10</v>
      </c>
      <c r="K14" s="2"/>
      <c r="L14" s="3"/>
      <c r="M14" s="5"/>
      <c r="N14" s="22"/>
    </row>
    <row r="15" spans="2:14" ht="15" thickBot="1" x14ac:dyDescent="0.35">
      <c r="B15" s="40">
        <v>11</v>
      </c>
      <c r="C15" s="7">
        <v>46138</v>
      </c>
      <c r="D15" s="3" t="s">
        <v>197</v>
      </c>
      <c r="E15" s="5">
        <v>45000</v>
      </c>
      <c r="F15" s="22"/>
      <c r="G15" s="16" t="s">
        <v>25</v>
      </c>
      <c r="H15" s="176">
        <v>46068</v>
      </c>
      <c r="I15" s="177"/>
      <c r="J15" s="21">
        <v>11</v>
      </c>
      <c r="K15" s="2"/>
      <c r="L15" s="3"/>
      <c r="M15" s="5"/>
      <c r="N15" s="22"/>
    </row>
    <row r="16" spans="2:14" x14ac:dyDescent="0.3">
      <c r="B16" s="40">
        <v>12</v>
      </c>
      <c r="C16" s="7"/>
      <c r="D16" s="3"/>
      <c r="E16" s="5"/>
      <c r="F16" s="22"/>
      <c r="G16" s="31" t="s">
        <v>32</v>
      </c>
      <c r="H16" s="178" t="s">
        <v>275</v>
      </c>
      <c r="I16" s="179"/>
      <c r="J16" s="21">
        <v>12</v>
      </c>
      <c r="K16" s="2"/>
      <c r="L16" s="3"/>
      <c r="M16" s="5"/>
      <c r="N16" s="22"/>
    </row>
    <row r="17" spans="2:14" x14ac:dyDescent="0.3">
      <c r="B17" s="40">
        <v>13</v>
      </c>
      <c r="C17" s="7"/>
      <c r="D17" s="3"/>
      <c r="E17" s="5"/>
      <c r="F17" s="22"/>
      <c r="G17" s="180" t="s">
        <v>33</v>
      </c>
      <c r="H17" s="181"/>
      <c r="I17" s="182"/>
      <c r="J17" s="21">
        <v>13</v>
      </c>
      <c r="K17" s="2"/>
      <c r="L17" s="3"/>
      <c r="M17" s="5"/>
      <c r="N17" s="22"/>
    </row>
    <row r="18" spans="2:14" x14ac:dyDescent="0.3">
      <c r="B18" s="40">
        <v>14</v>
      </c>
      <c r="C18" s="7"/>
      <c r="D18" s="3"/>
      <c r="E18" s="5"/>
      <c r="F18" s="22"/>
      <c r="G18" s="21" t="s">
        <v>3</v>
      </c>
      <c r="H18" s="2" t="s">
        <v>26</v>
      </c>
      <c r="I18" s="2" t="s">
        <v>32</v>
      </c>
      <c r="J18" s="40">
        <v>14</v>
      </c>
      <c r="K18" s="2"/>
      <c r="L18" s="3"/>
      <c r="M18" s="5"/>
      <c r="N18" s="22"/>
    </row>
    <row r="19" spans="2:14" x14ac:dyDescent="0.3">
      <c r="B19" s="40">
        <v>15</v>
      </c>
      <c r="C19" s="7"/>
      <c r="D19" s="3"/>
      <c r="E19" s="5"/>
      <c r="F19" s="22"/>
      <c r="G19" s="43">
        <v>46124</v>
      </c>
      <c r="H19" s="44">
        <v>135</v>
      </c>
      <c r="I19" s="47" t="str">
        <f>IF(ISBLANK(G19),"",CONCATENATE(G19-$H$15+1," days"))</f>
        <v>57 days</v>
      </c>
      <c r="J19" s="21">
        <v>15</v>
      </c>
      <c r="K19" s="2"/>
      <c r="L19" s="3"/>
      <c r="M19" s="5"/>
      <c r="N19" s="22"/>
    </row>
    <row r="20" spans="2:14" x14ac:dyDescent="0.3">
      <c r="B20" s="40">
        <v>16</v>
      </c>
      <c r="C20" s="4"/>
      <c r="D20" s="3"/>
      <c r="E20" s="5"/>
      <c r="F20" s="22"/>
      <c r="G20" s="43">
        <v>46131</v>
      </c>
      <c r="H20" s="44">
        <v>97</v>
      </c>
      <c r="I20" s="47" t="str">
        <f t="shared" ref="I20:I25" si="1">IF(ISBLANK(G20),"",CONCATENATE(G20-$H$15+1," days"))</f>
        <v>64 days</v>
      </c>
      <c r="J20" s="21">
        <v>16</v>
      </c>
      <c r="K20" s="2"/>
      <c r="L20" s="3"/>
      <c r="M20" s="5"/>
      <c r="N20" s="22"/>
    </row>
    <row r="21" spans="2:14" x14ac:dyDescent="0.3">
      <c r="B21" s="40">
        <v>17</v>
      </c>
      <c r="C21" s="4"/>
      <c r="D21" s="3"/>
      <c r="E21" s="5"/>
      <c r="F21" s="22"/>
      <c r="G21" s="46">
        <v>46136</v>
      </c>
      <c r="H21" s="44">
        <v>85</v>
      </c>
      <c r="I21" s="47" t="str">
        <f t="shared" si="1"/>
        <v>69 days</v>
      </c>
      <c r="J21" s="21">
        <v>17</v>
      </c>
      <c r="K21" s="2"/>
      <c r="L21" s="3"/>
      <c r="M21" s="5"/>
      <c r="N21" s="22"/>
    </row>
    <row r="22" spans="2:14" x14ac:dyDescent="0.3">
      <c r="B22" s="40">
        <v>18</v>
      </c>
      <c r="C22" s="4"/>
      <c r="D22" s="3"/>
      <c r="E22" s="5"/>
      <c r="F22" s="22"/>
      <c r="G22" s="46">
        <v>46137</v>
      </c>
      <c r="H22" s="44">
        <v>76</v>
      </c>
      <c r="I22" s="47" t="str">
        <f t="shared" si="1"/>
        <v>70 days</v>
      </c>
      <c r="J22" s="21">
        <v>18</v>
      </c>
      <c r="K22" s="2"/>
      <c r="L22" s="3"/>
      <c r="M22" s="5"/>
      <c r="N22" s="22"/>
    </row>
    <row r="23" spans="2:14" x14ac:dyDescent="0.3">
      <c r="B23" s="40">
        <v>19</v>
      </c>
      <c r="C23" s="4"/>
      <c r="D23" s="3"/>
      <c r="E23" s="5"/>
      <c r="F23" s="22"/>
      <c r="G23" s="46">
        <v>46138</v>
      </c>
      <c r="H23" s="44">
        <v>90</v>
      </c>
      <c r="I23" s="47" t="str">
        <f t="shared" si="1"/>
        <v>71 days</v>
      </c>
      <c r="J23" s="21">
        <v>19</v>
      </c>
      <c r="K23" s="15"/>
      <c r="L23" s="15"/>
      <c r="M23" s="15"/>
      <c r="N23" s="33"/>
    </row>
    <row r="24" spans="2:14" x14ac:dyDescent="0.3">
      <c r="B24" s="40">
        <v>20</v>
      </c>
      <c r="C24" s="4"/>
      <c r="D24" s="3"/>
      <c r="E24" s="5"/>
      <c r="F24" s="22"/>
      <c r="G24" s="34"/>
      <c r="H24" s="44"/>
      <c r="I24" s="47" t="str">
        <f t="shared" si="1"/>
        <v/>
      </c>
      <c r="J24" s="21">
        <v>20</v>
      </c>
      <c r="K24" s="15"/>
      <c r="L24" s="15"/>
      <c r="M24" s="15"/>
      <c r="N24" s="33"/>
    </row>
    <row r="25" spans="2:14" x14ac:dyDescent="0.3">
      <c r="B25" s="40">
        <v>21</v>
      </c>
      <c r="C25" s="4"/>
      <c r="D25" s="3"/>
      <c r="E25" s="5"/>
      <c r="F25" s="22"/>
      <c r="G25" s="34"/>
      <c r="H25" s="44"/>
      <c r="I25" s="47" t="str">
        <f t="shared" si="1"/>
        <v/>
      </c>
      <c r="J25" s="21">
        <v>21</v>
      </c>
      <c r="K25" s="15"/>
      <c r="L25" s="15"/>
      <c r="M25" s="15"/>
      <c r="N25" s="33"/>
    </row>
    <row r="26" spans="2:14" x14ac:dyDescent="0.3">
      <c r="B26" s="40">
        <v>22</v>
      </c>
      <c r="C26" s="4"/>
      <c r="D26" s="3"/>
      <c r="E26" s="5"/>
      <c r="F26" s="22"/>
      <c r="G26" s="34"/>
      <c r="H26" s="44"/>
      <c r="I26" s="47"/>
      <c r="J26" s="21">
        <v>22</v>
      </c>
      <c r="K26" s="15"/>
      <c r="L26" s="15"/>
      <c r="M26" s="15"/>
      <c r="N26" s="33"/>
    </row>
    <row r="27" spans="2:14" x14ac:dyDescent="0.3">
      <c r="B27" s="40">
        <v>23</v>
      </c>
      <c r="C27" s="4"/>
      <c r="D27" s="3"/>
      <c r="E27" s="5"/>
      <c r="F27" s="22"/>
      <c r="G27" s="34"/>
      <c r="H27" s="44"/>
      <c r="I27" s="47"/>
      <c r="J27" s="21">
        <v>23</v>
      </c>
      <c r="K27" s="15"/>
      <c r="L27" s="15"/>
      <c r="M27" s="15"/>
      <c r="N27" s="33"/>
    </row>
    <row r="28" spans="2:14" x14ac:dyDescent="0.3">
      <c r="B28" s="40">
        <v>24</v>
      </c>
      <c r="C28" s="4"/>
      <c r="D28" s="3"/>
      <c r="E28" s="5"/>
      <c r="F28" s="22"/>
      <c r="G28" s="34"/>
      <c r="H28" s="44"/>
      <c r="I28" s="47"/>
      <c r="J28" s="21">
        <v>24</v>
      </c>
      <c r="K28" s="15"/>
      <c r="L28" s="15"/>
      <c r="M28" s="15"/>
      <c r="N28" s="33"/>
    </row>
    <row r="29" spans="2:14" x14ac:dyDescent="0.3">
      <c r="B29" s="40">
        <v>25</v>
      </c>
      <c r="C29" s="69"/>
      <c r="D29" s="70"/>
      <c r="E29" s="71"/>
      <c r="F29" s="72"/>
      <c r="G29" s="73"/>
      <c r="H29" s="74"/>
      <c r="I29" s="75"/>
      <c r="J29" s="21">
        <v>25</v>
      </c>
      <c r="K29" s="68"/>
      <c r="L29" s="68"/>
      <c r="M29" s="68"/>
      <c r="N29" s="76"/>
    </row>
    <row r="30" spans="2:14" ht="15" thickBot="1" x14ac:dyDescent="0.35">
      <c r="B30" s="77"/>
      <c r="C30" s="27"/>
      <c r="D30" s="28"/>
      <c r="E30" s="61"/>
      <c r="F30" s="62"/>
      <c r="G30" s="35"/>
      <c r="H30" s="45"/>
      <c r="I30" s="49"/>
      <c r="J30" s="35"/>
      <c r="K30" s="38"/>
      <c r="L30" s="68"/>
      <c r="M30" s="68"/>
      <c r="N30" s="76"/>
    </row>
    <row r="31" spans="2:14" x14ac:dyDescent="0.3">
      <c r="B31" s="24"/>
      <c r="C31" s="25"/>
      <c r="D31" s="26"/>
      <c r="E31" s="64" t="s">
        <v>65</v>
      </c>
      <c r="F31" s="84">
        <f>H31+J31</f>
        <v>800000</v>
      </c>
      <c r="G31" s="90" t="s">
        <v>186</v>
      </c>
      <c r="H31" s="84">
        <v>700000</v>
      </c>
      <c r="I31" s="59" t="s">
        <v>187</v>
      </c>
      <c r="J31" s="84">
        <v>100000</v>
      </c>
      <c r="K31" s="84"/>
      <c r="L31" s="96"/>
      <c r="M31" s="130"/>
      <c r="N31" s="15"/>
    </row>
    <row r="32" spans="2:14" x14ac:dyDescent="0.3">
      <c r="E32" s="59" t="s">
        <v>62</v>
      </c>
      <c r="F32" s="90" t="s">
        <v>54</v>
      </c>
      <c r="G32" s="90" t="s">
        <v>26</v>
      </c>
      <c r="H32" s="90" t="s">
        <v>95</v>
      </c>
      <c r="I32" s="90" t="s">
        <v>63</v>
      </c>
      <c r="J32" s="183" t="s">
        <v>64</v>
      </c>
      <c r="K32" s="183"/>
      <c r="L32" s="184" t="s">
        <v>158</v>
      </c>
      <c r="M32" s="185"/>
      <c r="N32" s="15"/>
    </row>
    <row r="33" spans="2:14" x14ac:dyDescent="0.3">
      <c r="E33" s="15" t="s">
        <v>218</v>
      </c>
      <c r="F33" s="57">
        <f>H33*G33</f>
        <v>255712</v>
      </c>
      <c r="G33" s="57">
        <v>131</v>
      </c>
      <c r="H33" s="65">
        <v>1952</v>
      </c>
      <c r="I33" s="60">
        <v>234</v>
      </c>
      <c r="J33" s="169">
        <f>H33*I33</f>
        <v>456768</v>
      </c>
      <c r="K33" s="169"/>
      <c r="L33" s="83" t="s">
        <v>267</v>
      </c>
      <c r="M33" s="131">
        <v>134360</v>
      </c>
      <c r="N33" s="15"/>
    </row>
    <row r="34" spans="2:14" x14ac:dyDescent="0.3">
      <c r="E34" s="15" t="s">
        <v>113</v>
      </c>
      <c r="F34" s="57">
        <f t="shared" ref="F34:F39" si="2">H34*G34</f>
        <v>723967.2</v>
      </c>
      <c r="G34" s="57">
        <v>121</v>
      </c>
      <c r="H34" s="65">
        <v>5983.2</v>
      </c>
      <c r="I34" s="60">
        <v>254</v>
      </c>
      <c r="J34" s="169">
        <f t="shared" ref="J34:J39" si="3">H34*I34</f>
        <v>1519732.8</v>
      </c>
      <c r="K34" s="169"/>
      <c r="L34" s="83" t="s">
        <v>268</v>
      </c>
      <c r="M34" s="131">
        <v>200000</v>
      </c>
      <c r="N34" s="15"/>
    </row>
    <row r="35" spans="2:14" x14ac:dyDescent="0.3">
      <c r="C35" s="122"/>
      <c r="E35" s="15" t="s">
        <v>273</v>
      </c>
      <c r="F35" s="57">
        <f t="shared" si="2"/>
        <v>4500</v>
      </c>
      <c r="G35" s="57">
        <v>90</v>
      </c>
      <c r="H35" s="65">
        <v>50</v>
      </c>
      <c r="I35" s="60">
        <v>100</v>
      </c>
      <c r="J35" s="169">
        <f t="shared" si="3"/>
        <v>5000</v>
      </c>
      <c r="K35" s="169"/>
      <c r="L35" s="83" t="s">
        <v>278</v>
      </c>
      <c r="M35" s="131">
        <v>50000</v>
      </c>
      <c r="N35" s="15" t="s">
        <v>138</v>
      </c>
    </row>
    <row r="36" spans="2:14" x14ac:dyDescent="0.3">
      <c r="E36" s="15" t="s">
        <v>143</v>
      </c>
      <c r="F36" s="57">
        <f t="shared" si="2"/>
        <v>64350</v>
      </c>
      <c r="G36" s="57">
        <v>90</v>
      </c>
      <c r="H36" s="65">
        <v>715</v>
      </c>
      <c r="I36" s="60">
        <v>285</v>
      </c>
      <c r="J36" s="169">
        <f t="shared" si="3"/>
        <v>203775</v>
      </c>
      <c r="K36" s="169"/>
      <c r="L36" s="83" t="s">
        <v>60</v>
      </c>
      <c r="M36" s="131">
        <v>1030055</v>
      </c>
      <c r="N36" s="15"/>
    </row>
    <row r="37" spans="2:14" x14ac:dyDescent="0.3">
      <c r="E37" s="15" t="s">
        <v>274</v>
      </c>
      <c r="F37" s="57">
        <f t="shared" si="2"/>
        <v>3600</v>
      </c>
      <c r="G37" s="57">
        <v>90</v>
      </c>
      <c r="H37" s="65">
        <v>40</v>
      </c>
      <c r="I37" s="60">
        <v>100</v>
      </c>
      <c r="J37" s="169">
        <f t="shared" si="3"/>
        <v>4000</v>
      </c>
      <c r="K37" s="169"/>
      <c r="L37" s="83" t="s">
        <v>127</v>
      </c>
      <c r="M37" s="131">
        <v>200000</v>
      </c>
      <c r="N37" s="15"/>
    </row>
    <row r="38" spans="2:14" x14ac:dyDescent="0.3">
      <c r="E38" s="15"/>
      <c r="F38" s="57">
        <f t="shared" si="2"/>
        <v>0</v>
      </c>
      <c r="G38" s="57"/>
      <c r="H38" s="65"/>
      <c r="I38" s="60"/>
      <c r="J38" s="169">
        <f t="shared" si="3"/>
        <v>0</v>
      </c>
      <c r="K38" s="169"/>
      <c r="L38" s="83"/>
      <c r="M38" s="131"/>
      <c r="N38" s="15"/>
    </row>
    <row r="39" spans="2:14" x14ac:dyDescent="0.3">
      <c r="E39" s="15"/>
      <c r="F39" s="57">
        <f t="shared" si="2"/>
        <v>0</v>
      </c>
      <c r="G39" s="57"/>
      <c r="H39" s="65"/>
      <c r="I39" s="60"/>
      <c r="J39" s="169">
        <f t="shared" si="3"/>
        <v>0</v>
      </c>
      <c r="K39" s="169"/>
      <c r="L39" s="83"/>
      <c r="M39" s="131"/>
      <c r="N39" s="15"/>
    </row>
    <row r="40" spans="2:14" x14ac:dyDescent="0.3">
      <c r="E40" s="50" t="s">
        <v>61</v>
      </c>
      <c r="F40" s="58">
        <f>SUM(F33:F38)</f>
        <v>1052129.2</v>
      </c>
      <c r="G40" s="58"/>
      <c r="H40" s="82">
        <f>SUM(H33:H39)</f>
        <v>8740.2000000000007</v>
      </c>
      <c r="I40" s="50"/>
      <c r="J40" s="170">
        <f>SUM(J33:J39)</f>
        <v>2189275.7999999998</v>
      </c>
      <c r="K40" s="170"/>
      <c r="L40" s="50" t="s">
        <v>88</v>
      </c>
      <c r="M40" s="132">
        <f>SUM(M33:M39)</f>
        <v>1614415</v>
      </c>
      <c r="N40" s="15"/>
    </row>
    <row r="41" spans="2:14" ht="15" thickBot="1" x14ac:dyDescent="0.35">
      <c r="E41" s="50" t="s">
        <v>126</v>
      </c>
      <c r="F41" s="105" t="str">
        <f>CONCATENATE(ROUND((F40/F31)*100,2),"%")</f>
        <v>131.52%</v>
      </c>
      <c r="G41" s="15"/>
      <c r="H41" s="56"/>
      <c r="I41" s="15"/>
      <c r="J41" s="171"/>
      <c r="K41" s="171"/>
      <c r="L41" s="81" t="s">
        <v>89</v>
      </c>
      <c r="M41" s="101">
        <f>J40-M40</f>
        <v>574860.79999999981</v>
      </c>
      <c r="N41" s="15"/>
    </row>
    <row r="42" spans="2:14" x14ac:dyDescent="0.3">
      <c r="D42" s="39"/>
      <c r="L42" s="66"/>
      <c r="M42" s="39"/>
    </row>
    <row r="43" spans="2:14" x14ac:dyDescent="0.3">
      <c r="B43" s="172" t="s">
        <v>200</v>
      </c>
      <c r="C43" s="172"/>
      <c r="D43" s="57">
        <v>450000</v>
      </c>
      <c r="E43" s="15">
        <v>126</v>
      </c>
      <c r="F43" s="126">
        <f>D43/E43</f>
        <v>3571.4285714285716</v>
      </c>
      <c r="G43" s="60">
        <v>250</v>
      </c>
      <c r="H43" s="97">
        <f>F43*G43</f>
        <v>892857.14285714284</v>
      </c>
      <c r="I43" s="15"/>
      <c r="J43" s="15"/>
      <c r="K43" s="5"/>
      <c r="L43" s="15"/>
      <c r="M43" s="15"/>
      <c r="N43" s="15"/>
    </row>
    <row r="44" spans="2:14" x14ac:dyDescent="0.3">
      <c r="B44" s="172" t="s">
        <v>200</v>
      </c>
      <c r="C44" s="172"/>
      <c r="D44" s="57">
        <v>100000</v>
      </c>
      <c r="E44" s="15">
        <v>76</v>
      </c>
      <c r="F44" s="126">
        <f>D44/E44</f>
        <v>1315.7894736842106</v>
      </c>
      <c r="G44" s="60">
        <v>300</v>
      </c>
      <c r="H44" s="97">
        <f>F44*G44</f>
        <v>394736.8421052632</v>
      </c>
      <c r="I44" s="15"/>
      <c r="J44" s="15"/>
      <c r="K44" s="5"/>
      <c r="L44" s="15"/>
      <c r="M44" s="15"/>
      <c r="N44" s="15"/>
    </row>
    <row r="45" spans="2:14" x14ac:dyDescent="0.3">
      <c r="H45" s="107">
        <f>H43+H44</f>
        <v>1287593.9849624061</v>
      </c>
    </row>
    <row r="54" spans="6:10" x14ac:dyDescent="0.3">
      <c r="F54" s="39"/>
    </row>
    <row r="56" spans="6:10" x14ac:dyDescent="0.3">
      <c r="J56" s="1" t="s">
        <v>138</v>
      </c>
    </row>
  </sheetData>
  <mergeCells count="25">
    <mergeCell ref="L32:M32"/>
    <mergeCell ref="B1:F1"/>
    <mergeCell ref="H1:I1"/>
    <mergeCell ref="K1:L1"/>
    <mergeCell ref="B2:C2"/>
    <mergeCell ref="H2:I2"/>
    <mergeCell ref="B3:F3"/>
    <mergeCell ref="G3:I3"/>
    <mergeCell ref="J3:N3"/>
    <mergeCell ref="J38:K38"/>
    <mergeCell ref="G14:I14"/>
    <mergeCell ref="H15:I15"/>
    <mergeCell ref="H16:I16"/>
    <mergeCell ref="G17:I17"/>
    <mergeCell ref="J32:K32"/>
    <mergeCell ref="J33:K33"/>
    <mergeCell ref="J34:K34"/>
    <mergeCell ref="J35:K35"/>
    <mergeCell ref="J36:K36"/>
    <mergeCell ref="J37:K37"/>
    <mergeCell ref="J39:K39"/>
    <mergeCell ref="J40:K40"/>
    <mergeCell ref="J41:K41"/>
    <mergeCell ref="B43:C43"/>
    <mergeCell ref="B44:C44"/>
  </mergeCells>
  <conditionalFormatting sqref="K1:L1">
    <cfRule type="cellIs" dxfId="23" priority="3" operator="greaterThan">
      <formula>0</formula>
    </cfRule>
    <cfRule type="cellIs" dxfId="22" priority="4" operator="lessThan">
      <formula>0</formula>
    </cfRule>
  </conditionalFormatting>
  <conditionalFormatting sqref="L5">
    <cfRule type="duplicateValues" dxfId="21" priority="1"/>
  </conditionalFormatting>
  <conditionalFormatting sqref="L6">
    <cfRule type="duplicateValues" dxfId="20" priority="2"/>
  </conditionalFormatting>
  <conditionalFormatting sqref="L7:L22">
    <cfRule type="duplicateValues" dxfId="19" priority="5"/>
  </conditionalFormatting>
  <conditionalFormatting sqref="M5:M22">
    <cfRule type="duplicateValues" dxfId="18" priority="6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6FD52-3033-4087-B599-2D13A03E21B7}">
  <dimension ref="B1:N56"/>
  <sheetViews>
    <sheetView zoomScale="90" zoomScaleNormal="90" workbookViewId="0">
      <pane ySplit="1" topLeftCell="A23" activePane="bottomLeft" state="frozen"/>
      <selection pane="bottomLeft" activeCell="M41" sqref="M41"/>
    </sheetView>
  </sheetViews>
  <sheetFormatPr defaultRowHeight="14.4" x14ac:dyDescent="0.3"/>
  <cols>
    <col min="1" max="1" width="2.21875" style="1" customWidth="1"/>
    <col min="2" max="2" width="3" style="6" bestFit="1" customWidth="1"/>
    <col min="3" max="3" width="12.88671875" style="6" customWidth="1"/>
    <col min="4" max="4" width="14" style="1" bestFit="1" customWidth="1"/>
    <col min="5" max="5" width="20.21875" style="1" bestFit="1" customWidth="1"/>
    <col min="6" max="6" width="27.5546875" style="1" bestFit="1" customWidth="1"/>
    <col min="7" max="7" width="10.5546875" style="1" bestFit="1" customWidth="1"/>
    <col min="8" max="8" width="14.77734375" style="1" bestFit="1" customWidth="1"/>
    <col min="9" max="9" width="9.77734375" style="1" customWidth="1"/>
    <col min="10" max="10" width="8.33203125" style="1" customWidth="1"/>
    <col min="11" max="11" width="10.33203125" style="1" bestFit="1" customWidth="1"/>
    <col min="12" max="12" width="40" style="1" bestFit="1" customWidth="1"/>
    <col min="13" max="13" width="15.88671875" style="1" customWidth="1"/>
    <col min="14" max="14" width="22.5546875" style="1" customWidth="1"/>
    <col min="15" max="16384" width="8.88671875" style="1"/>
  </cols>
  <sheetData>
    <row r="1" spans="2:14" ht="16.2" thickBot="1" x14ac:dyDescent="0.35">
      <c r="B1" s="186" t="s">
        <v>282</v>
      </c>
      <c r="C1" s="187"/>
      <c r="D1" s="187"/>
      <c r="E1" s="187"/>
      <c r="F1" s="188"/>
      <c r="G1" s="16" t="s">
        <v>25</v>
      </c>
      <c r="H1" s="176">
        <v>46154</v>
      </c>
      <c r="I1" s="177"/>
      <c r="J1" s="17" t="s">
        <v>15</v>
      </c>
      <c r="K1" s="189">
        <f>M2-E2</f>
        <v>76509.399999999907</v>
      </c>
      <c r="L1" s="190"/>
      <c r="M1" s="18"/>
      <c r="N1" s="19"/>
    </row>
    <row r="2" spans="2:14" ht="15.6" x14ac:dyDescent="0.3">
      <c r="B2" s="191"/>
      <c r="C2" s="192"/>
      <c r="D2" s="13" t="s">
        <v>14</v>
      </c>
      <c r="E2" s="12">
        <f>SUM(E5:E30)</f>
        <v>1439577</v>
      </c>
      <c r="F2" s="20"/>
      <c r="G2" s="31" t="s">
        <v>32</v>
      </c>
      <c r="H2" s="178" t="s">
        <v>295</v>
      </c>
      <c r="I2" s="193"/>
      <c r="J2" s="37"/>
      <c r="K2" s="10"/>
      <c r="L2" s="11" t="s">
        <v>14</v>
      </c>
      <c r="M2" s="12">
        <f>SUM(M5:M22)</f>
        <v>1516086.4</v>
      </c>
      <c r="N2" s="20"/>
    </row>
    <row r="3" spans="2:14" x14ac:dyDescent="0.3">
      <c r="B3" s="194" t="s">
        <v>36</v>
      </c>
      <c r="C3" s="195"/>
      <c r="D3" s="196"/>
      <c r="E3" s="196"/>
      <c r="F3" s="197"/>
      <c r="G3" s="180" t="s">
        <v>33</v>
      </c>
      <c r="H3" s="181"/>
      <c r="I3" s="181"/>
      <c r="J3" s="194" t="s">
        <v>37</v>
      </c>
      <c r="K3" s="195"/>
      <c r="L3" s="196"/>
      <c r="M3" s="196"/>
      <c r="N3" s="197"/>
    </row>
    <row r="4" spans="2:14" x14ac:dyDescent="0.3">
      <c r="B4" s="40" t="s">
        <v>0</v>
      </c>
      <c r="C4" s="2" t="s">
        <v>3</v>
      </c>
      <c r="D4" s="3" t="s">
        <v>1</v>
      </c>
      <c r="E4" s="3" t="s">
        <v>13</v>
      </c>
      <c r="F4" s="22" t="s">
        <v>2</v>
      </c>
      <c r="G4" s="21" t="s">
        <v>3</v>
      </c>
      <c r="H4" s="99" t="s">
        <v>26</v>
      </c>
      <c r="I4" s="99" t="s">
        <v>32</v>
      </c>
      <c r="J4" s="40" t="s">
        <v>0</v>
      </c>
      <c r="K4" s="2" t="s">
        <v>3</v>
      </c>
      <c r="L4" s="3" t="s">
        <v>1</v>
      </c>
      <c r="M4" s="3" t="s">
        <v>13</v>
      </c>
      <c r="N4" s="22" t="s">
        <v>2</v>
      </c>
    </row>
    <row r="5" spans="2:14" x14ac:dyDescent="0.3">
      <c r="B5" s="40">
        <v>1</v>
      </c>
      <c r="C5" s="7">
        <v>46154</v>
      </c>
      <c r="D5" s="26" t="s">
        <v>19</v>
      </c>
      <c r="E5" s="9">
        <v>256000</v>
      </c>
      <c r="F5" s="23" t="s">
        <v>279</v>
      </c>
      <c r="G5" s="43">
        <v>46184</v>
      </c>
      <c r="H5" s="44">
        <v>350</v>
      </c>
      <c r="I5" s="47" t="str">
        <f>IF(ISBLANK(G5),"",CONCATENATE(G5-$H$1+1," days"))</f>
        <v>31 days</v>
      </c>
      <c r="J5" s="21">
        <v>1</v>
      </c>
      <c r="K5" s="43">
        <v>46214</v>
      </c>
      <c r="L5" s="3" t="s">
        <v>290</v>
      </c>
      <c r="M5" s="5">
        <v>388886.4</v>
      </c>
      <c r="N5" s="22"/>
    </row>
    <row r="6" spans="2:14" x14ac:dyDescent="0.3">
      <c r="B6" s="40">
        <v>2</v>
      </c>
      <c r="C6" s="7">
        <v>46154</v>
      </c>
      <c r="D6" s="3" t="s">
        <v>74</v>
      </c>
      <c r="E6" s="5">
        <v>15000</v>
      </c>
      <c r="F6" s="23" t="s">
        <v>280</v>
      </c>
      <c r="G6" s="43">
        <v>46207</v>
      </c>
      <c r="H6" s="44">
        <v>150</v>
      </c>
      <c r="I6" s="47" t="str">
        <f t="shared" ref="I6:I13" si="0">IF(ISBLANK(G6),"",CONCATENATE(G6-$H$1+1," days"))</f>
        <v>54 days</v>
      </c>
      <c r="J6" s="21">
        <v>2</v>
      </c>
      <c r="K6" s="46">
        <v>46222</v>
      </c>
      <c r="L6" s="3" t="s">
        <v>294</v>
      </c>
      <c r="M6" s="5">
        <v>955200</v>
      </c>
      <c r="N6" s="22"/>
    </row>
    <row r="7" spans="2:14" x14ac:dyDescent="0.3">
      <c r="B7" s="40">
        <v>3</v>
      </c>
      <c r="C7" s="7">
        <v>46152</v>
      </c>
      <c r="D7" s="3" t="s">
        <v>283</v>
      </c>
      <c r="E7" s="5">
        <v>10000</v>
      </c>
      <c r="F7" s="23" t="s">
        <v>284</v>
      </c>
      <c r="G7" s="43">
        <v>46212</v>
      </c>
      <c r="H7" s="44">
        <v>125</v>
      </c>
      <c r="I7" s="47" t="str">
        <f t="shared" si="0"/>
        <v>59 days</v>
      </c>
      <c r="J7" s="21">
        <v>3</v>
      </c>
      <c r="K7" s="46">
        <v>46222</v>
      </c>
      <c r="L7" s="3" t="s">
        <v>302</v>
      </c>
      <c r="M7" s="5">
        <v>172000</v>
      </c>
      <c r="N7" s="22"/>
    </row>
    <row r="8" spans="2:14" x14ac:dyDescent="0.3">
      <c r="B8" s="40">
        <v>4</v>
      </c>
      <c r="C8" s="7">
        <v>46161</v>
      </c>
      <c r="D8" s="3" t="s">
        <v>29</v>
      </c>
      <c r="E8" s="5">
        <v>14953</v>
      </c>
      <c r="F8" s="22"/>
      <c r="G8" s="43">
        <v>46214</v>
      </c>
      <c r="H8" s="44">
        <v>119</v>
      </c>
      <c r="I8" s="47" t="str">
        <f t="shared" si="0"/>
        <v>61 days</v>
      </c>
      <c r="J8" s="21">
        <v>4</v>
      </c>
      <c r="K8" s="4"/>
      <c r="L8" s="3"/>
      <c r="M8" s="5"/>
      <c r="N8" s="22"/>
    </row>
    <row r="9" spans="2:14" x14ac:dyDescent="0.3">
      <c r="B9" s="40">
        <v>5</v>
      </c>
      <c r="C9" s="127">
        <v>46167</v>
      </c>
      <c r="D9" s="3" t="s">
        <v>285</v>
      </c>
      <c r="E9" s="9">
        <v>3000</v>
      </c>
      <c r="F9" s="22" t="s">
        <v>57</v>
      </c>
      <c r="G9" s="46">
        <v>46221</v>
      </c>
      <c r="H9" s="44">
        <v>100</v>
      </c>
      <c r="I9" s="47" t="str">
        <f t="shared" si="0"/>
        <v>68 days</v>
      </c>
      <c r="J9" s="21">
        <v>5</v>
      </c>
      <c r="K9" s="4"/>
      <c r="L9" s="3"/>
      <c r="M9" s="5"/>
      <c r="N9" s="22"/>
    </row>
    <row r="10" spans="2:14" x14ac:dyDescent="0.3">
      <c r="B10" s="40">
        <v>6</v>
      </c>
      <c r="C10" s="127">
        <v>46191</v>
      </c>
      <c r="D10" s="3" t="s">
        <v>60</v>
      </c>
      <c r="E10" s="9">
        <v>1039463</v>
      </c>
      <c r="F10" s="22" t="s">
        <v>306</v>
      </c>
      <c r="G10" s="46">
        <v>46222</v>
      </c>
      <c r="H10" s="44">
        <v>95</v>
      </c>
      <c r="I10" s="47" t="str">
        <f t="shared" si="0"/>
        <v>69 days</v>
      </c>
      <c r="J10" s="21">
        <v>6</v>
      </c>
      <c r="K10" s="2"/>
      <c r="L10" s="3"/>
      <c r="M10" s="5"/>
      <c r="N10" s="22"/>
    </row>
    <row r="11" spans="2:14" x14ac:dyDescent="0.3">
      <c r="B11" s="40">
        <v>7</v>
      </c>
      <c r="C11" s="127">
        <v>46181</v>
      </c>
      <c r="D11" s="3" t="s">
        <v>29</v>
      </c>
      <c r="E11" s="5">
        <v>12238</v>
      </c>
      <c r="F11" s="22"/>
      <c r="G11" s="46"/>
      <c r="H11" s="44"/>
      <c r="I11" s="47" t="str">
        <f t="shared" si="0"/>
        <v/>
      </c>
      <c r="J11" s="21">
        <v>7</v>
      </c>
      <c r="K11" s="2"/>
      <c r="L11" s="3"/>
      <c r="M11" s="5"/>
      <c r="N11" s="22"/>
    </row>
    <row r="12" spans="2:14" x14ac:dyDescent="0.3">
      <c r="B12" s="40">
        <v>8</v>
      </c>
      <c r="C12" s="7">
        <v>46190</v>
      </c>
      <c r="D12" s="3" t="s">
        <v>286</v>
      </c>
      <c r="E12" s="5">
        <v>8000</v>
      </c>
      <c r="F12" s="55"/>
      <c r="G12" s="46"/>
      <c r="H12" s="109"/>
      <c r="I12" s="121" t="str">
        <f t="shared" si="0"/>
        <v/>
      </c>
      <c r="J12" s="40">
        <v>8</v>
      </c>
      <c r="K12" s="2"/>
      <c r="L12" s="3"/>
      <c r="M12" s="5"/>
      <c r="N12" s="22"/>
    </row>
    <row r="13" spans="2:14" x14ac:dyDescent="0.3">
      <c r="B13" s="40">
        <v>9</v>
      </c>
      <c r="C13" s="7">
        <v>46221</v>
      </c>
      <c r="D13" s="3" t="s">
        <v>29</v>
      </c>
      <c r="E13" s="5">
        <v>23923</v>
      </c>
      <c r="F13" s="55"/>
      <c r="G13" s="46"/>
      <c r="H13" s="109"/>
      <c r="I13" s="121" t="str">
        <f t="shared" si="0"/>
        <v/>
      </c>
      <c r="J13" s="40">
        <v>9</v>
      </c>
      <c r="K13" s="2"/>
      <c r="L13" s="3"/>
      <c r="M13" s="5"/>
      <c r="N13" s="22"/>
    </row>
    <row r="14" spans="2:14" ht="15" thickBot="1" x14ac:dyDescent="0.35">
      <c r="B14" s="40">
        <v>10</v>
      </c>
      <c r="C14" s="127">
        <v>46222</v>
      </c>
      <c r="D14" s="3" t="s">
        <v>303</v>
      </c>
      <c r="E14" s="9">
        <v>25000</v>
      </c>
      <c r="F14" s="67"/>
      <c r="G14" s="173" t="s">
        <v>57</v>
      </c>
      <c r="H14" s="174"/>
      <c r="I14" s="175"/>
      <c r="J14" s="21">
        <v>10</v>
      </c>
      <c r="K14" s="2"/>
      <c r="L14" s="3"/>
      <c r="M14" s="5"/>
      <c r="N14" s="22"/>
    </row>
    <row r="15" spans="2:14" ht="15" thickBot="1" x14ac:dyDescent="0.35">
      <c r="B15" s="40">
        <v>11</v>
      </c>
      <c r="C15" s="127">
        <v>46222</v>
      </c>
      <c r="D15" s="3" t="s">
        <v>73</v>
      </c>
      <c r="E15" s="5">
        <v>32000</v>
      </c>
      <c r="F15" s="22"/>
      <c r="G15" s="16" t="s">
        <v>25</v>
      </c>
      <c r="H15" s="176">
        <v>46154</v>
      </c>
      <c r="I15" s="177"/>
      <c r="J15" s="21">
        <v>11</v>
      </c>
      <c r="K15" s="2"/>
      <c r="L15" s="3"/>
      <c r="M15" s="5"/>
      <c r="N15" s="22"/>
    </row>
    <row r="16" spans="2:14" x14ac:dyDescent="0.3">
      <c r="B16" s="40">
        <v>12</v>
      </c>
      <c r="C16" s="7"/>
      <c r="D16" s="3"/>
      <c r="E16" s="5"/>
      <c r="F16" s="22"/>
      <c r="G16" s="31" t="s">
        <v>32</v>
      </c>
      <c r="H16" s="178" t="s">
        <v>295</v>
      </c>
      <c r="I16" s="179"/>
      <c r="J16" s="21">
        <v>12</v>
      </c>
      <c r="K16" s="2"/>
      <c r="L16" s="3"/>
      <c r="M16" s="5"/>
      <c r="N16" s="22"/>
    </row>
    <row r="17" spans="2:14" x14ac:dyDescent="0.3">
      <c r="B17" s="40">
        <v>13</v>
      </c>
      <c r="C17" s="7"/>
      <c r="D17" s="3"/>
      <c r="E17" s="5"/>
      <c r="F17" s="22"/>
      <c r="G17" s="180" t="s">
        <v>33</v>
      </c>
      <c r="H17" s="181"/>
      <c r="I17" s="182"/>
      <c r="J17" s="21">
        <v>13</v>
      </c>
      <c r="K17" s="2"/>
      <c r="L17" s="3"/>
      <c r="M17" s="5"/>
      <c r="N17" s="22"/>
    </row>
    <row r="18" spans="2:14" x14ac:dyDescent="0.3">
      <c r="B18" s="40">
        <v>14</v>
      </c>
      <c r="C18" s="7"/>
      <c r="D18" s="3"/>
      <c r="E18" s="5"/>
      <c r="F18" s="22"/>
      <c r="G18" s="21" t="s">
        <v>3</v>
      </c>
      <c r="H18" s="2" t="s">
        <v>26</v>
      </c>
      <c r="I18" s="2" t="s">
        <v>32</v>
      </c>
      <c r="J18" s="40">
        <v>14</v>
      </c>
      <c r="K18" s="2"/>
      <c r="L18" s="3"/>
      <c r="M18" s="5"/>
      <c r="N18" s="22"/>
    </row>
    <row r="19" spans="2:14" x14ac:dyDescent="0.3">
      <c r="B19" s="40">
        <v>15</v>
      </c>
      <c r="C19" s="7"/>
      <c r="D19" s="3"/>
      <c r="E19" s="5"/>
      <c r="F19" s="22"/>
      <c r="G19" s="43">
        <v>46184</v>
      </c>
      <c r="H19" s="44">
        <v>350</v>
      </c>
      <c r="I19" s="47" t="str">
        <f>IF(ISBLANK(G19),"",CONCATENATE(G19-$H$15+1," days"))</f>
        <v>31 days</v>
      </c>
      <c r="J19" s="21">
        <v>15</v>
      </c>
      <c r="K19" s="2"/>
      <c r="L19" s="3"/>
      <c r="M19" s="5"/>
      <c r="N19" s="22"/>
    </row>
    <row r="20" spans="2:14" x14ac:dyDescent="0.3">
      <c r="B20" s="40">
        <v>16</v>
      </c>
      <c r="C20" s="4"/>
      <c r="D20" s="3"/>
      <c r="E20" s="5"/>
      <c r="F20" s="22"/>
      <c r="G20" s="43">
        <v>46221</v>
      </c>
      <c r="H20" s="44">
        <v>90</v>
      </c>
      <c r="I20" s="47" t="str">
        <f t="shared" ref="I20:I25" si="1">IF(ISBLANK(G20),"",CONCATENATE(G20-$H$15+1," days"))</f>
        <v>68 days</v>
      </c>
      <c r="J20" s="21">
        <v>16</v>
      </c>
      <c r="K20" s="2"/>
      <c r="L20" s="3"/>
      <c r="M20" s="5"/>
      <c r="N20" s="22"/>
    </row>
    <row r="21" spans="2:14" x14ac:dyDescent="0.3">
      <c r="B21" s="40">
        <v>17</v>
      </c>
      <c r="C21" s="4"/>
      <c r="D21" s="3"/>
      <c r="E21" s="5"/>
      <c r="F21" s="22"/>
      <c r="G21" s="46">
        <v>46222</v>
      </c>
      <c r="H21" s="44">
        <v>90</v>
      </c>
      <c r="I21" s="47" t="str">
        <f t="shared" si="1"/>
        <v>69 days</v>
      </c>
      <c r="J21" s="21">
        <v>17</v>
      </c>
      <c r="K21" s="2"/>
      <c r="L21" s="3"/>
      <c r="M21" s="5"/>
      <c r="N21" s="22"/>
    </row>
    <row r="22" spans="2:14" x14ac:dyDescent="0.3">
      <c r="B22" s="40">
        <v>18</v>
      </c>
      <c r="C22" s="4"/>
      <c r="D22" s="3"/>
      <c r="E22" s="5"/>
      <c r="F22" s="22"/>
      <c r="G22" s="46"/>
      <c r="H22" s="44"/>
      <c r="I22" s="47" t="str">
        <f t="shared" si="1"/>
        <v/>
      </c>
      <c r="J22" s="21">
        <v>18</v>
      </c>
      <c r="K22" s="2"/>
      <c r="L22" s="3"/>
      <c r="M22" s="5"/>
      <c r="N22" s="22"/>
    </row>
    <row r="23" spans="2:14" x14ac:dyDescent="0.3">
      <c r="B23" s="40">
        <v>19</v>
      </c>
      <c r="C23" s="4"/>
      <c r="D23" s="3"/>
      <c r="E23" s="5"/>
      <c r="F23" s="22"/>
      <c r="G23" s="46"/>
      <c r="H23" s="44"/>
      <c r="I23" s="47" t="str">
        <f t="shared" si="1"/>
        <v/>
      </c>
      <c r="J23" s="21">
        <v>19</v>
      </c>
      <c r="K23" s="15"/>
      <c r="L23" s="15"/>
      <c r="M23" s="15"/>
      <c r="N23" s="33"/>
    </row>
    <row r="24" spans="2:14" x14ac:dyDescent="0.3">
      <c r="B24" s="40">
        <v>20</v>
      </c>
      <c r="C24" s="4"/>
      <c r="D24" s="3"/>
      <c r="E24" s="5"/>
      <c r="F24" s="22"/>
      <c r="G24" s="34"/>
      <c r="H24" s="44"/>
      <c r="I24" s="47" t="str">
        <f t="shared" si="1"/>
        <v/>
      </c>
      <c r="J24" s="21">
        <v>20</v>
      </c>
      <c r="K24" s="15"/>
      <c r="L24" s="15"/>
      <c r="M24" s="15"/>
      <c r="N24" s="33"/>
    </row>
    <row r="25" spans="2:14" x14ac:dyDescent="0.3">
      <c r="B25" s="40">
        <v>21</v>
      </c>
      <c r="C25" s="4"/>
      <c r="D25" s="3"/>
      <c r="E25" s="5"/>
      <c r="F25" s="22"/>
      <c r="G25" s="34"/>
      <c r="H25" s="44"/>
      <c r="I25" s="47" t="str">
        <f t="shared" si="1"/>
        <v/>
      </c>
      <c r="J25" s="21">
        <v>21</v>
      </c>
      <c r="K25" s="15"/>
      <c r="L25" s="15"/>
      <c r="M25" s="15"/>
      <c r="N25" s="33"/>
    </row>
    <row r="26" spans="2:14" x14ac:dyDescent="0.3">
      <c r="B26" s="40">
        <v>22</v>
      </c>
      <c r="C26" s="4"/>
      <c r="D26" s="3"/>
      <c r="E26" s="5"/>
      <c r="F26" s="22"/>
      <c r="G26" s="34"/>
      <c r="H26" s="44"/>
      <c r="I26" s="47"/>
      <c r="J26" s="21">
        <v>22</v>
      </c>
      <c r="K26" s="15"/>
      <c r="L26" s="15"/>
      <c r="M26" s="15"/>
      <c r="N26" s="33"/>
    </row>
    <row r="27" spans="2:14" x14ac:dyDescent="0.3">
      <c r="B27" s="40">
        <v>23</v>
      </c>
      <c r="C27" s="4"/>
      <c r="D27" s="3"/>
      <c r="E27" s="5"/>
      <c r="F27" s="22"/>
      <c r="G27" s="34"/>
      <c r="H27" s="44"/>
      <c r="I27" s="47"/>
      <c r="J27" s="21">
        <v>23</v>
      </c>
      <c r="K27" s="15"/>
      <c r="L27" s="15"/>
      <c r="M27" s="15"/>
      <c r="N27" s="33"/>
    </row>
    <row r="28" spans="2:14" x14ac:dyDescent="0.3">
      <c r="B28" s="40">
        <v>24</v>
      </c>
      <c r="C28" s="4"/>
      <c r="D28" s="3"/>
      <c r="E28" s="5"/>
      <c r="F28" s="22"/>
      <c r="G28" s="34"/>
      <c r="H28" s="44"/>
      <c r="I28" s="47"/>
      <c r="J28" s="21">
        <v>24</v>
      </c>
      <c r="K28" s="15"/>
      <c r="L28" s="15"/>
      <c r="M28" s="15"/>
      <c r="N28" s="33"/>
    </row>
    <row r="29" spans="2:14" x14ac:dyDescent="0.3">
      <c r="B29" s="40">
        <v>25</v>
      </c>
      <c r="C29" s="69"/>
      <c r="D29" s="70"/>
      <c r="E29" s="71"/>
      <c r="F29" s="72"/>
      <c r="G29" s="73"/>
      <c r="H29" s="74"/>
      <c r="I29" s="75"/>
      <c r="J29" s="21">
        <v>25</v>
      </c>
      <c r="K29" s="68"/>
      <c r="L29" s="68"/>
      <c r="M29" s="68"/>
      <c r="N29" s="76"/>
    </row>
    <row r="30" spans="2:14" ht="15" thickBot="1" x14ac:dyDescent="0.35">
      <c r="B30" s="77"/>
      <c r="C30" s="27"/>
      <c r="D30" s="28"/>
      <c r="E30" s="61"/>
      <c r="F30" s="62"/>
      <c r="G30" s="35"/>
      <c r="H30" s="45"/>
      <c r="I30" s="49"/>
      <c r="J30" s="35"/>
      <c r="K30" s="38"/>
      <c r="L30" s="68"/>
      <c r="M30" s="68"/>
      <c r="N30" s="76"/>
    </row>
    <row r="31" spans="2:14" x14ac:dyDescent="0.3">
      <c r="B31" s="24"/>
      <c r="C31" s="25"/>
      <c r="D31" s="26"/>
      <c r="E31" s="64" t="s">
        <v>65</v>
      </c>
      <c r="F31" s="84">
        <f>H31+J31</f>
        <v>800000</v>
      </c>
      <c r="G31" s="90" t="s">
        <v>186</v>
      </c>
      <c r="H31" s="84">
        <v>700000</v>
      </c>
      <c r="I31" s="59" t="s">
        <v>187</v>
      </c>
      <c r="J31" s="84">
        <v>100000</v>
      </c>
      <c r="K31" s="84"/>
      <c r="L31" s="96"/>
      <c r="M31" s="130"/>
      <c r="N31" s="15"/>
    </row>
    <row r="32" spans="2:14" x14ac:dyDescent="0.3">
      <c r="E32" s="59" t="s">
        <v>62</v>
      </c>
      <c r="F32" s="90" t="s">
        <v>54</v>
      </c>
      <c r="G32" s="90" t="s">
        <v>26</v>
      </c>
      <c r="H32" s="90" t="s">
        <v>95</v>
      </c>
      <c r="I32" s="90" t="s">
        <v>63</v>
      </c>
      <c r="J32" s="183" t="s">
        <v>64</v>
      </c>
      <c r="K32" s="183"/>
      <c r="L32" s="184" t="s">
        <v>158</v>
      </c>
      <c r="M32" s="185"/>
      <c r="N32" s="15"/>
    </row>
    <row r="33" spans="2:14" x14ac:dyDescent="0.3">
      <c r="E33" s="15" t="s">
        <v>301</v>
      </c>
      <c r="F33" s="57">
        <f>H33*G33</f>
        <v>214247.6</v>
      </c>
      <c r="G33" s="57">
        <v>119</v>
      </c>
      <c r="H33" s="65">
        <v>1800.4</v>
      </c>
      <c r="I33" s="60">
        <v>216</v>
      </c>
      <c r="J33" s="169">
        <f>H33*I33</f>
        <v>388886.4</v>
      </c>
      <c r="K33" s="169"/>
      <c r="L33" s="83" t="s">
        <v>60</v>
      </c>
      <c r="M33" s="131">
        <v>1039463</v>
      </c>
      <c r="N33" s="15"/>
    </row>
    <row r="34" spans="2:14" x14ac:dyDescent="0.3">
      <c r="E34" s="15" t="s">
        <v>168</v>
      </c>
      <c r="F34" s="57">
        <f t="shared" ref="F34:F39" si="2">H34*G34</f>
        <v>373730</v>
      </c>
      <c r="G34" s="57">
        <v>95</v>
      </c>
      <c r="H34" s="65">
        <v>3934</v>
      </c>
      <c r="I34" s="60">
        <v>245</v>
      </c>
      <c r="J34" s="169">
        <f t="shared" ref="J34:J39" si="3">H34*I34</f>
        <v>963830</v>
      </c>
      <c r="K34" s="169"/>
      <c r="L34" s="83" t="s">
        <v>127</v>
      </c>
      <c r="M34" s="131">
        <v>800000</v>
      </c>
      <c r="N34" s="15"/>
    </row>
    <row r="35" spans="2:14" x14ac:dyDescent="0.3">
      <c r="C35" s="122"/>
      <c r="E35" s="15" t="s">
        <v>307</v>
      </c>
      <c r="F35" s="57">
        <f t="shared" si="2"/>
        <v>3600</v>
      </c>
      <c r="G35" s="57">
        <v>90</v>
      </c>
      <c r="H35" s="65">
        <v>40</v>
      </c>
      <c r="I35" s="60">
        <v>60</v>
      </c>
      <c r="J35" s="169">
        <f t="shared" si="3"/>
        <v>2400</v>
      </c>
      <c r="K35" s="169"/>
      <c r="L35" s="83"/>
      <c r="M35" s="131"/>
      <c r="N35" s="15" t="s">
        <v>138</v>
      </c>
    </row>
    <row r="36" spans="2:14" x14ac:dyDescent="0.3">
      <c r="E36" s="15" t="s">
        <v>224</v>
      </c>
      <c r="F36" s="57">
        <f t="shared" si="2"/>
        <v>60723.000000000007</v>
      </c>
      <c r="G36" s="57">
        <v>90</v>
      </c>
      <c r="H36" s="65">
        <v>674.7</v>
      </c>
      <c r="I36" s="60">
        <v>255</v>
      </c>
      <c r="J36" s="169">
        <f t="shared" si="3"/>
        <v>172048.5</v>
      </c>
      <c r="K36" s="169"/>
      <c r="L36" s="83"/>
      <c r="M36" s="131"/>
      <c r="N36" s="15"/>
    </row>
    <row r="37" spans="2:14" x14ac:dyDescent="0.3">
      <c r="E37" s="15" t="s">
        <v>308</v>
      </c>
      <c r="F37" s="57">
        <f t="shared" si="2"/>
        <v>1260</v>
      </c>
      <c r="G37" s="57">
        <v>90</v>
      </c>
      <c r="H37" s="65">
        <v>14</v>
      </c>
      <c r="I37" s="60">
        <v>60</v>
      </c>
      <c r="J37" s="169">
        <f t="shared" si="3"/>
        <v>840</v>
      </c>
      <c r="K37" s="169"/>
      <c r="L37" s="83"/>
      <c r="M37" s="131"/>
      <c r="N37" s="15"/>
    </row>
    <row r="38" spans="2:14" x14ac:dyDescent="0.3">
      <c r="E38" s="15"/>
      <c r="F38" s="57">
        <f t="shared" si="2"/>
        <v>0</v>
      </c>
      <c r="G38" s="57"/>
      <c r="H38" s="65"/>
      <c r="I38" s="60"/>
      <c r="J38" s="169">
        <f t="shared" si="3"/>
        <v>0</v>
      </c>
      <c r="K38" s="169"/>
      <c r="L38" s="83"/>
      <c r="M38" s="131"/>
      <c r="N38" s="15"/>
    </row>
    <row r="39" spans="2:14" x14ac:dyDescent="0.3">
      <c r="E39" s="15"/>
      <c r="F39" s="57">
        <f t="shared" si="2"/>
        <v>0</v>
      </c>
      <c r="G39" s="57"/>
      <c r="H39" s="65"/>
      <c r="I39" s="60"/>
      <c r="J39" s="169">
        <f t="shared" si="3"/>
        <v>0</v>
      </c>
      <c r="K39" s="169"/>
      <c r="L39" s="83"/>
      <c r="M39" s="131"/>
      <c r="N39" s="15"/>
    </row>
    <row r="40" spans="2:14" x14ac:dyDescent="0.3">
      <c r="E40" s="50" t="s">
        <v>61</v>
      </c>
      <c r="F40" s="58">
        <f>SUM(F33:F38)</f>
        <v>653560.6</v>
      </c>
      <c r="G40" s="58"/>
      <c r="H40" s="82">
        <f>SUM(H33:H39)</f>
        <v>6463.0999999999995</v>
      </c>
      <c r="I40" s="50"/>
      <c r="J40" s="170">
        <f>SUM(J33:J39)</f>
        <v>1528004.9</v>
      </c>
      <c r="K40" s="170"/>
      <c r="L40" s="50" t="s">
        <v>88</v>
      </c>
      <c r="M40" s="132">
        <f>SUM(M33:M39)</f>
        <v>1839463</v>
      </c>
      <c r="N40" s="15"/>
    </row>
    <row r="41" spans="2:14" ht="15" thickBot="1" x14ac:dyDescent="0.35">
      <c r="E41" s="50" t="s">
        <v>126</v>
      </c>
      <c r="F41" s="105" t="str">
        <f>CONCATENATE(ROUND((F40/F31)*100,2),"%")</f>
        <v>81.7%</v>
      </c>
      <c r="G41" s="15"/>
      <c r="H41" s="56"/>
      <c r="I41" s="15"/>
      <c r="J41" s="171"/>
      <c r="K41" s="171"/>
      <c r="L41" s="81" t="s">
        <v>89</v>
      </c>
      <c r="M41" s="101">
        <f>J40-M40</f>
        <v>-311458.10000000009</v>
      </c>
      <c r="N41" s="15"/>
    </row>
    <row r="42" spans="2:14" x14ac:dyDescent="0.3">
      <c r="D42" s="39"/>
      <c r="L42" s="66"/>
      <c r="M42" s="39"/>
    </row>
    <row r="43" spans="2:14" x14ac:dyDescent="0.3">
      <c r="B43" s="172" t="s">
        <v>200</v>
      </c>
      <c r="C43" s="172"/>
      <c r="D43" s="57">
        <f>F31-F40</f>
        <v>146439.40000000002</v>
      </c>
      <c r="E43" s="15">
        <v>95</v>
      </c>
      <c r="F43" s="126">
        <f>D43/E43</f>
        <v>1541.4673684210529</v>
      </c>
      <c r="G43" s="60">
        <v>240</v>
      </c>
      <c r="H43" s="97">
        <f>F43*G43</f>
        <v>369952.16842105269</v>
      </c>
      <c r="I43" s="15"/>
      <c r="J43" s="15"/>
      <c r="K43" s="5"/>
      <c r="L43" s="15"/>
      <c r="M43" s="15"/>
      <c r="N43" s="15"/>
    </row>
    <row r="44" spans="2:14" x14ac:dyDescent="0.3">
      <c r="B44" s="172" t="s">
        <v>200</v>
      </c>
      <c r="C44" s="172"/>
      <c r="D44" s="57"/>
      <c r="E44" s="15"/>
      <c r="F44" s="126" t="e">
        <f>D44/E44</f>
        <v>#DIV/0!</v>
      </c>
      <c r="G44" s="60"/>
      <c r="H44" s="97" t="e">
        <f>F44*G44</f>
        <v>#DIV/0!</v>
      </c>
      <c r="I44" s="15"/>
      <c r="J44" s="15"/>
      <c r="K44" s="5"/>
      <c r="L44" s="15"/>
      <c r="M44" s="15"/>
      <c r="N44" s="15"/>
    </row>
    <row r="45" spans="2:14" x14ac:dyDescent="0.3">
      <c r="H45" s="107" t="e">
        <f>H43+H44</f>
        <v>#DIV/0!</v>
      </c>
    </row>
    <row r="54" spans="6:10" x14ac:dyDescent="0.3">
      <c r="F54" s="39"/>
    </row>
    <row r="56" spans="6:10" x14ac:dyDescent="0.3">
      <c r="J56" s="1" t="s">
        <v>138</v>
      </c>
    </row>
  </sheetData>
  <mergeCells count="25">
    <mergeCell ref="J39:K39"/>
    <mergeCell ref="J40:K40"/>
    <mergeCell ref="J41:K41"/>
    <mergeCell ref="B43:C43"/>
    <mergeCell ref="B44:C44"/>
    <mergeCell ref="J38:K38"/>
    <mergeCell ref="G14:I14"/>
    <mergeCell ref="H15:I15"/>
    <mergeCell ref="H16:I16"/>
    <mergeCell ref="G17:I17"/>
    <mergeCell ref="J32:K32"/>
    <mergeCell ref="J33:K33"/>
    <mergeCell ref="J34:K34"/>
    <mergeCell ref="J35:K35"/>
    <mergeCell ref="J36:K36"/>
    <mergeCell ref="J37:K37"/>
    <mergeCell ref="L32:M32"/>
    <mergeCell ref="B1:F1"/>
    <mergeCell ref="H1:I1"/>
    <mergeCell ref="K1:L1"/>
    <mergeCell ref="B2:C2"/>
    <mergeCell ref="H2:I2"/>
    <mergeCell ref="B3:F3"/>
    <mergeCell ref="G3:I3"/>
    <mergeCell ref="J3:N3"/>
  </mergeCells>
  <conditionalFormatting sqref="K1:L1">
    <cfRule type="cellIs" dxfId="17" priority="3" operator="greaterThan">
      <formula>0</formula>
    </cfRule>
    <cfRule type="cellIs" dxfId="16" priority="4" operator="lessThan">
      <formula>0</formula>
    </cfRule>
  </conditionalFormatting>
  <conditionalFormatting sqref="L5">
    <cfRule type="duplicateValues" dxfId="15" priority="1"/>
  </conditionalFormatting>
  <conditionalFormatting sqref="L6">
    <cfRule type="duplicateValues" dxfId="14" priority="2"/>
  </conditionalFormatting>
  <conditionalFormatting sqref="L7:L22">
    <cfRule type="duplicateValues" dxfId="13" priority="5"/>
  </conditionalFormatting>
  <conditionalFormatting sqref="M5:M22">
    <cfRule type="duplicateValues" dxfId="12" priority="6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0D34-371C-44C4-8709-6060745CC3BB}">
  <dimension ref="B1:N56"/>
  <sheetViews>
    <sheetView tabSelected="1" topLeftCell="B1" zoomScale="103" zoomScaleNormal="100" workbookViewId="0">
      <pane ySplit="1" topLeftCell="A2" activePane="bottomLeft" state="frozen"/>
      <selection pane="bottomLeft" activeCell="L15" sqref="L15"/>
    </sheetView>
  </sheetViews>
  <sheetFormatPr defaultRowHeight="14.4" x14ac:dyDescent="0.3"/>
  <cols>
    <col min="1" max="1" width="2.21875" style="1" customWidth="1"/>
    <col min="2" max="2" width="3" style="6" bestFit="1" customWidth="1"/>
    <col min="3" max="3" width="12.88671875" style="6" customWidth="1"/>
    <col min="4" max="4" width="14" style="1" bestFit="1" customWidth="1"/>
    <col min="5" max="5" width="20.21875" style="1" bestFit="1" customWidth="1"/>
    <col min="6" max="6" width="27.5546875" style="1" bestFit="1" customWidth="1"/>
    <col min="7" max="7" width="10.88671875" style="1" bestFit="1" customWidth="1"/>
    <col min="8" max="8" width="14.77734375" style="1" bestFit="1" customWidth="1"/>
    <col min="9" max="9" width="9.77734375" style="1" customWidth="1"/>
    <col min="10" max="10" width="8.33203125" style="1" customWidth="1"/>
    <col min="11" max="11" width="10.88671875" style="1" bestFit="1" customWidth="1"/>
    <col min="12" max="12" width="40" style="1" bestFit="1" customWidth="1"/>
    <col min="13" max="13" width="15.88671875" style="1" customWidth="1"/>
    <col min="14" max="14" width="22.5546875" style="1" customWidth="1"/>
    <col min="15" max="16384" width="8.88671875" style="1"/>
  </cols>
  <sheetData>
    <row r="1" spans="2:14" ht="16.2" thickBot="1" x14ac:dyDescent="0.35">
      <c r="B1" s="186" t="s">
        <v>309</v>
      </c>
      <c r="C1" s="187"/>
      <c r="D1" s="187"/>
      <c r="E1" s="187"/>
      <c r="F1" s="188"/>
      <c r="G1" s="16" t="s">
        <v>25</v>
      </c>
      <c r="H1" s="176">
        <v>46243</v>
      </c>
      <c r="I1" s="177"/>
      <c r="J1" s="17" t="s">
        <v>15</v>
      </c>
      <c r="K1" s="189">
        <f>M2-E2</f>
        <v>22177</v>
      </c>
      <c r="L1" s="190"/>
      <c r="M1" s="18"/>
      <c r="N1" s="19"/>
    </row>
    <row r="2" spans="2:14" ht="15.6" x14ac:dyDescent="0.3">
      <c r="B2" s="191"/>
      <c r="C2" s="192"/>
      <c r="D2" s="13" t="s">
        <v>14</v>
      </c>
      <c r="E2" s="12">
        <f>SUM(E5:E30)</f>
        <v>781485</v>
      </c>
      <c r="F2" s="20"/>
      <c r="G2" s="31" t="s">
        <v>32</v>
      </c>
      <c r="H2" s="178" t="s">
        <v>311</v>
      </c>
      <c r="I2" s="193"/>
      <c r="J2" s="37"/>
      <c r="K2" s="10"/>
      <c r="L2" s="11" t="s">
        <v>14</v>
      </c>
      <c r="M2" s="12">
        <f>SUM(M5:M22)</f>
        <v>803662</v>
      </c>
      <c r="N2" s="20"/>
    </row>
    <row r="3" spans="2:14" x14ac:dyDescent="0.3">
      <c r="B3" s="194" t="s">
        <v>36</v>
      </c>
      <c r="C3" s="195"/>
      <c r="D3" s="196"/>
      <c r="E3" s="196"/>
      <c r="F3" s="197"/>
      <c r="G3" s="180" t="s">
        <v>33</v>
      </c>
      <c r="H3" s="181"/>
      <c r="I3" s="181"/>
      <c r="J3" s="194" t="s">
        <v>37</v>
      </c>
      <c r="K3" s="195"/>
      <c r="L3" s="196"/>
      <c r="M3" s="196"/>
      <c r="N3" s="197"/>
    </row>
    <row r="4" spans="2:14" x14ac:dyDescent="0.3">
      <c r="B4" s="40" t="s">
        <v>0</v>
      </c>
      <c r="C4" s="2" t="s">
        <v>3</v>
      </c>
      <c r="D4" s="3" t="s">
        <v>1</v>
      </c>
      <c r="E4" s="3" t="s">
        <v>13</v>
      </c>
      <c r="F4" s="22" t="s">
        <v>2</v>
      </c>
      <c r="G4" s="21" t="s">
        <v>3</v>
      </c>
      <c r="H4" s="99" t="s">
        <v>26</v>
      </c>
      <c r="I4" s="99" t="s">
        <v>32</v>
      </c>
      <c r="J4" s="40" t="s">
        <v>0</v>
      </c>
      <c r="K4" s="2" t="s">
        <v>3</v>
      </c>
      <c r="L4" s="3" t="s">
        <v>1</v>
      </c>
      <c r="M4" s="3" t="s">
        <v>13</v>
      </c>
      <c r="N4" s="22" t="s">
        <v>2</v>
      </c>
    </row>
    <row r="5" spans="2:14" x14ac:dyDescent="0.3">
      <c r="B5" s="40">
        <v>1</v>
      </c>
      <c r="C5" s="7">
        <v>46243</v>
      </c>
      <c r="D5" s="26" t="s">
        <v>19</v>
      </c>
      <c r="E5" s="9">
        <v>165000</v>
      </c>
      <c r="F5" s="23" t="s">
        <v>304</v>
      </c>
      <c r="G5" s="43">
        <v>46297</v>
      </c>
      <c r="H5" s="44">
        <v>130</v>
      </c>
      <c r="I5" s="47" t="str">
        <f>IF(ISBLANK(G5),"",CONCATENATE(G5-$H$1+1," days"))</f>
        <v>55 days</v>
      </c>
      <c r="J5" s="21">
        <v>1</v>
      </c>
      <c r="K5" s="43">
        <v>46299</v>
      </c>
      <c r="L5" s="3" t="s">
        <v>116</v>
      </c>
      <c r="M5" s="5">
        <v>693462</v>
      </c>
      <c r="N5" s="22"/>
    </row>
    <row r="6" spans="2:14" x14ac:dyDescent="0.3">
      <c r="B6" s="40">
        <v>2</v>
      </c>
      <c r="C6" s="7">
        <v>46243</v>
      </c>
      <c r="D6" s="3" t="s">
        <v>43</v>
      </c>
      <c r="E6" s="5">
        <v>5000</v>
      </c>
      <c r="F6" s="23" t="s">
        <v>305</v>
      </c>
      <c r="G6" s="43">
        <v>46299</v>
      </c>
      <c r="H6" s="44">
        <v>116</v>
      </c>
      <c r="I6" s="47" t="str">
        <f t="shared" ref="I6:I13" si="0">IF(ISBLANK(G6),"",CONCATENATE(G6-$H$1+1," days"))</f>
        <v>57 days</v>
      </c>
      <c r="J6" s="21">
        <v>2</v>
      </c>
      <c r="K6" s="43">
        <v>46299</v>
      </c>
      <c r="L6" s="3" t="s">
        <v>143</v>
      </c>
      <c r="M6" s="5">
        <v>105600</v>
      </c>
      <c r="N6" s="22"/>
    </row>
    <row r="7" spans="2:14" x14ac:dyDescent="0.3">
      <c r="B7" s="40">
        <v>3</v>
      </c>
      <c r="C7" s="7">
        <v>46249</v>
      </c>
      <c r="D7" s="3" t="s">
        <v>29</v>
      </c>
      <c r="E7" s="5">
        <v>16485</v>
      </c>
      <c r="F7" s="23"/>
      <c r="G7" s="43"/>
      <c r="H7" s="44"/>
      <c r="I7" s="47" t="str">
        <f t="shared" si="0"/>
        <v/>
      </c>
      <c r="J7" s="21">
        <v>3</v>
      </c>
      <c r="K7" s="43">
        <v>46299</v>
      </c>
      <c r="L7" s="3" t="s">
        <v>312</v>
      </c>
      <c r="M7" s="5">
        <v>4600</v>
      </c>
      <c r="N7" s="22"/>
    </row>
    <row r="8" spans="2:14" x14ac:dyDescent="0.3">
      <c r="B8" s="40">
        <v>4</v>
      </c>
      <c r="C8" s="7">
        <v>46281</v>
      </c>
      <c r="D8" s="3" t="s">
        <v>29</v>
      </c>
      <c r="E8" s="5">
        <v>15000</v>
      </c>
      <c r="F8" s="22"/>
      <c r="G8" s="43"/>
      <c r="H8" s="44"/>
      <c r="I8" s="47" t="str">
        <f t="shared" si="0"/>
        <v/>
      </c>
      <c r="J8" s="21">
        <v>4</v>
      </c>
      <c r="K8" s="4"/>
      <c r="L8" s="3"/>
      <c r="M8" s="5"/>
      <c r="N8" s="22"/>
    </row>
    <row r="9" spans="2:14" x14ac:dyDescent="0.3">
      <c r="B9" s="40">
        <v>5</v>
      </c>
      <c r="C9" s="7">
        <v>46299</v>
      </c>
      <c r="D9" s="3" t="s">
        <v>60</v>
      </c>
      <c r="E9" s="9">
        <v>500000</v>
      </c>
      <c r="F9" s="22" t="s">
        <v>316</v>
      </c>
      <c r="G9" s="46"/>
      <c r="H9" s="44"/>
      <c r="I9" s="47" t="str">
        <f t="shared" si="0"/>
        <v/>
      </c>
      <c r="J9" s="21">
        <v>5</v>
      </c>
      <c r="K9" s="4"/>
      <c r="L9" s="3"/>
      <c r="M9" s="5"/>
      <c r="N9" s="22"/>
    </row>
    <row r="10" spans="2:14" x14ac:dyDescent="0.3">
      <c r="B10" s="40">
        <v>6</v>
      </c>
      <c r="C10" s="7">
        <v>46299</v>
      </c>
      <c r="D10" s="3" t="s">
        <v>49</v>
      </c>
      <c r="E10" s="9">
        <v>50000</v>
      </c>
      <c r="F10" s="22"/>
      <c r="G10" s="46"/>
      <c r="H10" s="44"/>
      <c r="I10" s="47" t="str">
        <f t="shared" si="0"/>
        <v/>
      </c>
      <c r="J10" s="21">
        <v>6</v>
      </c>
      <c r="K10" s="2"/>
      <c r="L10" s="3"/>
      <c r="M10" s="5"/>
      <c r="N10" s="22"/>
    </row>
    <row r="11" spans="2:14" x14ac:dyDescent="0.3">
      <c r="B11" s="40">
        <v>7</v>
      </c>
      <c r="C11" s="7">
        <v>46299</v>
      </c>
      <c r="D11" s="3" t="s">
        <v>197</v>
      </c>
      <c r="E11" s="5">
        <v>30000</v>
      </c>
      <c r="F11" s="22"/>
      <c r="G11" s="46"/>
      <c r="H11" s="44"/>
      <c r="I11" s="47" t="str">
        <f t="shared" si="0"/>
        <v/>
      </c>
      <c r="J11" s="21">
        <v>7</v>
      </c>
      <c r="K11" s="2"/>
      <c r="L11" s="3"/>
      <c r="M11" s="5"/>
      <c r="N11" s="22"/>
    </row>
    <row r="12" spans="2:14" x14ac:dyDescent="0.3">
      <c r="B12" s="40">
        <v>8</v>
      </c>
      <c r="C12" s="7"/>
      <c r="D12" s="3"/>
      <c r="E12" s="5"/>
      <c r="F12" s="55"/>
      <c r="G12" s="46"/>
      <c r="H12" s="109"/>
      <c r="I12" s="121" t="str">
        <f t="shared" si="0"/>
        <v/>
      </c>
      <c r="J12" s="40">
        <v>8</v>
      </c>
      <c r="K12" s="2"/>
      <c r="L12" s="3"/>
      <c r="M12" s="5"/>
      <c r="N12" s="22"/>
    </row>
    <row r="13" spans="2:14" x14ac:dyDescent="0.3">
      <c r="B13" s="40">
        <v>9</v>
      </c>
      <c r="C13" s="7"/>
      <c r="D13" s="3"/>
      <c r="E13" s="5"/>
      <c r="F13" s="55"/>
      <c r="G13" s="46"/>
      <c r="H13" s="109"/>
      <c r="I13" s="121" t="str">
        <f t="shared" si="0"/>
        <v/>
      </c>
      <c r="J13" s="40">
        <v>9</v>
      </c>
      <c r="K13" s="2"/>
      <c r="L13" s="3"/>
      <c r="M13" s="5"/>
      <c r="N13" s="22"/>
    </row>
    <row r="14" spans="2:14" ht="15" thickBot="1" x14ac:dyDescent="0.35">
      <c r="B14" s="40">
        <v>10</v>
      </c>
      <c r="C14" s="127"/>
      <c r="D14" s="3"/>
      <c r="E14" s="9"/>
      <c r="F14" s="67"/>
      <c r="G14" s="173" t="s">
        <v>57</v>
      </c>
      <c r="H14" s="174"/>
      <c r="I14" s="175"/>
      <c r="J14" s="21">
        <v>10</v>
      </c>
      <c r="K14" s="2"/>
      <c r="L14" s="3"/>
      <c r="M14" s="5"/>
      <c r="N14" s="22"/>
    </row>
    <row r="15" spans="2:14" ht="15" thickBot="1" x14ac:dyDescent="0.35">
      <c r="B15" s="40">
        <v>11</v>
      </c>
      <c r="C15" s="7"/>
      <c r="D15" s="3"/>
      <c r="E15" s="5"/>
      <c r="F15" s="22"/>
      <c r="G15" s="16" t="s">
        <v>25</v>
      </c>
      <c r="H15" s="176">
        <v>46243</v>
      </c>
      <c r="I15" s="177"/>
      <c r="J15" s="21">
        <v>11</v>
      </c>
      <c r="K15" s="2"/>
      <c r="L15" s="3"/>
      <c r="M15" s="5"/>
      <c r="N15" s="22"/>
    </row>
    <row r="16" spans="2:14" x14ac:dyDescent="0.3">
      <c r="B16" s="40">
        <v>12</v>
      </c>
      <c r="C16" s="7"/>
      <c r="D16" s="3"/>
      <c r="E16" s="5"/>
      <c r="F16" s="22"/>
      <c r="G16" s="31" t="s">
        <v>32</v>
      </c>
      <c r="H16" s="178" t="s">
        <v>311</v>
      </c>
      <c r="I16" s="179"/>
      <c r="J16" s="21">
        <v>12</v>
      </c>
      <c r="K16" s="2"/>
      <c r="L16" s="3"/>
      <c r="M16" s="5"/>
      <c r="N16" s="22"/>
    </row>
    <row r="17" spans="2:14" x14ac:dyDescent="0.3">
      <c r="B17" s="40">
        <v>13</v>
      </c>
      <c r="C17" s="7"/>
      <c r="D17" s="3"/>
      <c r="E17" s="5"/>
      <c r="F17" s="22"/>
      <c r="G17" s="180" t="s">
        <v>33</v>
      </c>
      <c r="H17" s="181"/>
      <c r="I17" s="182"/>
      <c r="J17" s="21">
        <v>13</v>
      </c>
      <c r="K17" s="2"/>
      <c r="L17" s="3"/>
      <c r="M17" s="5"/>
      <c r="N17" s="22"/>
    </row>
    <row r="18" spans="2:14" x14ac:dyDescent="0.3">
      <c r="B18" s="40">
        <v>14</v>
      </c>
      <c r="C18" s="7"/>
      <c r="D18" s="3"/>
      <c r="E18" s="5"/>
      <c r="F18" s="22"/>
      <c r="G18" s="21" t="s">
        <v>3</v>
      </c>
      <c r="H18" s="2" t="s">
        <v>26</v>
      </c>
      <c r="I18" s="2" t="s">
        <v>32</v>
      </c>
      <c r="J18" s="40">
        <v>14</v>
      </c>
      <c r="K18" s="2"/>
      <c r="L18" s="3"/>
      <c r="M18" s="5"/>
      <c r="N18" s="22"/>
    </row>
    <row r="19" spans="2:14" x14ac:dyDescent="0.3">
      <c r="B19" s="40">
        <v>15</v>
      </c>
      <c r="C19" s="7"/>
      <c r="D19" s="3"/>
      <c r="E19" s="5"/>
      <c r="F19" s="22"/>
      <c r="G19" s="43">
        <v>46299</v>
      </c>
      <c r="H19" s="44">
        <v>114</v>
      </c>
      <c r="I19" s="47" t="str">
        <f>IF(ISBLANK(G19),"",CONCATENATE(G19-$H$15+1," days"))</f>
        <v>57 days</v>
      </c>
      <c r="J19" s="21">
        <v>15</v>
      </c>
      <c r="K19" s="2"/>
      <c r="L19" s="3"/>
      <c r="M19" s="5"/>
      <c r="N19" s="22"/>
    </row>
    <row r="20" spans="2:14" x14ac:dyDescent="0.3">
      <c r="B20" s="40">
        <v>16</v>
      </c>
      <c r="C20" s="4"/>
      <c r="D20" s="3"/>
      <c r="E20" s="5"/>
      <c r="F20" s="22"/>
      <c r="G20" s="43"/>
      <c r="H20" s="44"/>
      <c r="I20" s="47" t="str">
        <f t="shared" ref="I20:I25" si="1">IF(ISBLANK(G20),"",CONCATENATE(G20-$H$15+1," days"))</f>
        <v/>
      </c>
      <c r="J20" s="21">
        <v>16</v>
      </c>
      <c r="K20" s="2"/>
      <c r="L20" s="3"/>
      <c r="M20" s="5"/>
      <c r="N20" s="22"/>
    </row>
    <row r="21" spans="2:14" x14ac:dyDescent="0.3">
      <c r="B21" s="40">
        <v>17</v>
      </c>
      <c r="C21" s="4"/>
      <c r="D21" s="3"/>
      <c r="E21" s="5"/>
      <c r="F21" s="22"/>
      <c r="G21" s="46"/>
      <c r="H21" s="44"/>
      <c r="I21" s="47" t="str">
        <f t="shared" si="1"/>
        <v/>
      </c>
      <c r="J21" s="21">
        <v>17</v>
      </c>
      <c r="K21" s="2"/>
      <c r="L21" s="3"/>
      <c r="M21" s="5"/>
      <c r="N21" s="22"/>
    </row>
    <row r="22" spans="2:14" x14ac:dyDescent="0.3">
      <c r="B22" s="40">
        <v>18</v>
      </c>
      <c r="C22" s="4"/>
      <c r="D22" s="3"/>
      <c r="E22" s="5"/>
      <c r="F22" s="22"/>
      <c r="G22" s="46"/>
      <c r="H22" s="44"/>
      <c r="I22" s="47" t="str">
        <f t="shared" si="1"/>
        <v/>
      </c>
      <c r="J22" s="21">
        <v>18</v>
      </c>
      <c r="K22" s="2"/>
      <c r="L22" s="3"/>
      <c r="M22" s="5"/>
      <c r="N22" s="22"/>
    </row>
    <row r="23" spans="2:14" x14ac:dyDescent="0.3">
      <c r="B23" s="40">
        <v>19</v>
      </c>
      <c r="C23" s="4"/>
      <c r="D23" s="3"/>
      <c r="E23" s="5"/>
      <c r="F23" s="22"/>
      <c r="G23" s="46"/>
      <c r="H23" s="44"/>
      <c r="I23" s="47" t="str">
        <f t="shared" si="1"/>
        <v/>
      </c>
      <c r="J23" s="21">
        <v>19</v>
      </c>
      <c r="K23" s="15"/>
      <c r="L23" s="15"/>
      <c r="M23" s="15"/>
      <c r="N23" s="33"/>
    </row>
    <row r="24" spans="2:14" x14ac:dyDescent="0.3">
      <c r="B24" s="40">
        <v>20</v>
      </c>
      <c r="C24" s="4"/>
      <c r="D24" s="3"/>
      <c r="E24" s="5"/>
      <c r="F24" s="22"/>
      <c r="G24" s="34"/>
      <c r="H24" s="44"/>
      <c r="I24" s="47" t="str">
        <f t="shared" si="1"/>
        <v/>
      </c>
      <c r="J24" s="21">
        <v>20</v>
      </c>
      <c r="K24" s="15"/>
      <c r="L24" s="15"/>
      <c r="M24" s="15"/>
      <c r="N24" s="33"/>
    </row>
    <row r="25" spans="2:14" x14ac:dyDescent="0.3">
      <c r="B25" s="40">
        <v>21</v>
      </c>
      <c r="C25" s="4"/>
      <c r="D25" s="3"/>
      <c r="E25" s="5"/>
      <c r="F25" s="22"/>
      <c r="G25" s="34"/>
      <c r="H25" s="44"/>
      <c r="I25" s="47" t="str">
        <f t="shared" si="1"/>
        <v/>
      </c>
      <c r="J25" s="21">
        <v>21</v>
      </c>
      <c r="K25" s="15"/>
      <c r="L25" s="15"/>
      <c r="M25" s="15"/>
      <c r="N25" s="33"/>
    </row>
    <row r="26" spans="2:14" x14ac:dyDescent="0.3">
      <c r="B26" s="40">
        <v>22</v>
      </c>
      <c r="C26" s="4"/>
      <c r="D26" s="3"/>
      <c r="E26" s="5"/>
      <c r="F26" s="22"/>
      <c r="G26" s="34"/>
      <c r="H26" s="44"/>
      <c r="I26" s="47"/>
      <c r="J26" s="21">
        <v>22</v>
      </c>
      <c r="K26" s="15"/>
      <c r="L26" s="15"/>
      <c r="M26" s="15"/>
      <c r="N26" s="33"/>
    </row>
    <row r="27" spans="2:14" x14ac:dyDescent="0.3">
      <c r="B27" s="40">
        <v>23</v>
      </c>
      <c r="C27" s="4"/>
      <c r="D27" s="3"/>
      <c r="E27" s="5"/>
      <c r="F27" s="22"/>
      <c r="G27" s="34"/>
      <c r="H27" s="44"/>
      <c r="I27" s="47"/>
      <c r="J27" s="21">
        <v>23</v>
      </c>
      <c r="K27" s="15"/>
      <c r="L27" s="15"/>
      <c r="M27" s="15"/>
      <c r="N27" s="33"/>
    </row>
    <row r="28" spans="2:14" x14ac:dyDescent="0.3">
      <c r="B28" s="40">
        <v>24</v>
      </c>
      <c r="C28" s="4"/>
      <c r="D28" s="3"/>
      <c r="E28" s="5"/>
      <c r="F28" s="22"/>
      <c r="G28" s="34"/>
      <c r="H28" s="44"/>
      <c r="I28" s="47"/>
      <c r="J28" s="21">
        <v>24</v>
      </c>
      <c r="K28" s="15"/>
      <c r="L28" s="15"/>
      <c r="M28" s="15"/>
      <c r="N28" s="33"/>
    </row>
    <row r="29" spans="2:14" x14ac:dyDescent="0.3">
      <c r="B29" s="40">
        <v>25</v>
      </c>
      <c r="C29" s="69"/>
      <c r="D29" s="70"/>
      <c r="E29" s="71"/>
      <c r="F29" s="72"/>
      <c r="G29" s="73"/>
      <c r="H29" s="74"/>
      <c r="I29" s="75"/>
      <c r="J29" s="21">
        <v>25</v>
      </c>
      <c r="K29" s="68"/>
      <c r="L29" s="68"/>
      <c r="M29" s="68"/>
      <c r="N29" s="76"/>
    </row>
    <row r="30" spans="2:14" ht="15" thickBot="1" x14ac:dyDescent="0.35">
      <c r="B30" s="77"/>
      <c r="C30" s="27"/>
      <c r="D30" s="28"/>
      <c r="E30" s="61"/>
      <c r="F30" s="62"/>
      <c r="G30" s="35"/>
      <c r="H30" s="45"/>
      <c r="I30" s="49"/>
      <c r="J30" s="35"/>
      <c r="K30" s="38"/>
      <c r="L30" s="68"/>
      <c r="M30" s="68"/>
      <c r="N30" s="76"/>
    </row>
    <row r="31" spans="2:14" x14ac:dyDescent="0.3">
      <c r="B31" s="24"/>
      <c r="C31" s="25"/>
      <c r="D31" s="26"/>
      <c r="E31" s="64" t="s">
        <v>65</v>
      </c>
      <c r="F31" s="84">
        <f>H31+J31</f>
        <v>550000</v>
      </c>
      <c r="G31" s="90" t="s">
        <v>186</v>
      </c>
      <c r="H31" s="84">
        <v>450000</v>
      </c>
      <c r="I31" s="59" t="s">
        <v>187</v>
      </c>
      <c r="J31" s="84">
        <v>100000</v>
      </c>
      <c r="K31" s="84"/>
      <c r="L31" s="96"/>
      <c r="M31" s="130"/>
      <c r="N31" s="15"/>
    </row>
    <row r="32" spans="2:14" x14ac:dyDescent="0.3">
      <c r="E32" s="59" t="s">
        <v>62</v>
      </c>
      <c r="F32" s="90" t="s">
        <v>54</v>
      </c>
      <c r="G32" s="90" t="s">
        <v>26</v>
      </c>
      <c r="H32" s="90" t="s">
        <v>95</v>
      </c>
      <c r="I32" s="90" t="s">
        <v>63</v>
      </c>
      <c r="J32" s="183" t="s">
        <v>64</v>
      </c>
      <c r="K32" s="183"/>
      <c r="L32" s="184" t="s">
        <v>158</v>
      </c>
      <c r="M32" s="185"/>
      <c r="N32" s="15"/>
    </row>
    <row r="33" spans="2:14" x14ac:dyDescent="0.3">
      <c r="E33" s="15" t="s">
        <v>116</v>
      </c>
      <c r="F33" s="57">
        <f>H33*G33</f>
        <v>297198</v>
      </c>
      <c r="G33" s="57">
        <v>114</v>
      </c>
      <c r="H33" s="65">
        <v>2607</v>
      </c>
      <c r="I33" s="60">
        <v>266</v>
      </c>
      <c r="J33" s="169">
        <f>H33*I33</f>
        <v>693462</v>
      </c>
      <c r="K33" s="169"/>
      <c r="L33" s="83" t="s">
        <v>60</v>
      </c>
      <c r="M33" s="131">
        <v>500000</v>
      </c>
      <c r="N33" s="15"/>
    </row>
    <row r="34" spans="2:14" x14ac:dyDescent="0.3">
      <c r="E34" s="15" t="s">
        <v>143</v>
      </c>
      <c r="F34" s="57">
        <f t="shared" ref="F34:F39" si="2">H34*G34</f>
        <v>46400</v>
      </c>
      <c r="G34" s="57">
        <v>116</v>
      </c>
      <c r="H34" s="65">
        <v>400</v>
      </c>
      <c r="I34" s="60">
        <v>264</v>
      </c>
      <c r="J34" s="169">
        <f t="shared" ref="J34:J39" si="3">H34*I34</f>
        <v>105600</v>
      </c>
      <c r="K34" s="169"/>
      <c r="L34" s="83" t="s">
        <v>315</v>
      </c>
      <c r="M34" s="131">
        <v>311458.09999999998</v>
      </c>
      <c r="N34" s="15"/>
    </row>
    <row r="35" spans="2:14" x14ac:dyDescent="0.3">
      <c r="C35" s="122"/>
      <c r="E35" s="15" t="s">
        <v>314</v>
      </c>
      <c r="F35" s="57">
        <f t="shared" si="2"/>
        <v>5244</v>
      </c>
      <c r="G35" s="57">
        <v>114</v>
      </c>
      <c r="H35" s="65">
        <v>46</v>
      </c>
      <c r="I35" s="60">
        <v>100</v>
      </c>
      <c r="J35" s="169">
        <f t="shared" si="3"/>
        <v>4600</v>
      </c>
      <c r="K35" s="169"/>
      <c r="L35" s="83" t="s">
        <v>268</v>
      </c>
      <c r="M35" s="131">
        <v>200000</v>
      </c>
      <c r="N35" s="15" t="s">
        <v>138</v>
      </c>
    </row>
    <row r="36" spans="2:14" x14ac:dyDescent="0.3">
      <c r="E36" s="15" t="s">
        <v>313</v>
      </c>
      <c r="F36" s="57">
        <f t="shared" si="2"/>
        <v>1140</v>
      </c>
      <c r="G36" s="57">
        <v>114</v>
      </c>
      <c r="H36" s="65">
        <v>10</v>
      </c>
      <c r="I36" s="60">
        <v>0</v>
      </c>
      <c r="J36" s="169">
        <f t="shared" si="3"/>
        <v>0</v>
      </c>
      <c r="K36" s="169"/>
      <c r="L36" s="83"/>
      <c r="M36" s="131"/>
      <c r="N36" s="15"/>
    </row>
    <row r="37" spans="2:14" x14ac:dyDescent="0.3">
      <c r="E37" s="15"/>
      <c r="F37" s="57">
        <f t="shared" si="2"/>
        <v>0</v>
      </c>
      <c r="G37" s="57"/>
      <c r="H37" s="65"/>
      <c r="I37" s="60"/>
      <c r="J37" s="169">
        <f t="shared" si="3"/>
        <v>0</v>
      </c>
      <c r="K37" s="169"/>
      <c r="L37" s="83"/>
      <c r="M37" s="131"/>
      <c r="N37" s="15"/>
    </row>
    <row r="38" spans="2:14" x14ac:dyDescent="0.3">
      <c r="E38" s="15"/>
      <c r="F38" s="57">
        <f t="shared" si="2"/>
        <v>0</v>
      </c>
      <c r="G38" s="57"/>
      <c r="H38" s="65"/>
      <c r="I38" s="60"/>
      <c r="J38" s="169">
        <f t="shared" si="3"/>
        <v>0</v>
      </c>
      <c r="K38" s="169"/>
      <c r="L38" s="83"/>
      <c r="M38" s="131"/>
      <c r="N38" s="15"/>
    </row>
    <row r="39" spans="2:14" x14ac:dyDescent="0.3">
      <c r="E39" s="15"/>
      <c r="F39" s="57">
        <f t="shared" si="2"/>
        <v>0</v>
      </c>
      <c r="G39" s="57"/>
      <c r="H39" s="65"/>
      <c r="I39" s="60"/>
      <c r="J39" s="169">
        <f t="shared" si="3"/>
        <v>0</v>
      </c>
      <c r="K39" s="169"/>
      <c r="L39" s="83"/>
      <c r="M39" s="131"/>
      <c r="N39" s="15"/>
    </row>
    <row r="40" spans="2:14" x14ac:dyDescent="0.3">
      <c r="E40" s="50" t="s">
        <v>61</v>
      </c>
      <c r="F40" s="58">
        <f>SUM(F33:F38)</f>
        <v>349982</v>
      </c>
      <c r="G40" s="58"/>
      <c r="H40" s="82">
        <f>SUM(H33:H39)</f>
        <v>3063</v>
      </c>
      <c r="I40" s="50"/>
      <c r="J40" s="170">
        <f>SUM(J33:J39)</f>
        <v>803662</v>
      </c>
      <c r="K40" s="170"/>
      <c r="L40" s="50" t="s">
        <v>88</v>
      </c>
      <c r="M40" s="132">
        <f>SUM(M33:M39)</f>
        <v>1011458.1</v>
      </c>
      <c r="N40" s="15"/>
    </row>
    <row r="41" spans="2:14" ht="15" thickBot="1" x14ac:dyDescent="0.35">
      <c r="E41" s="50" t="s">
        <v>126</v>
      </c>
      <c r="F41" s="105" t="str">
        <f>CONCATENATE(ROUND((F40/F31)*100,2),"%")</f>
        <v>63.63%</v>
      </c>
      <c r="G41" s="15"/>
      <c r="H41" s="56"/>
      <c r="I41" s="15"/>
      <c r="J41" s="171"/>
      <c r="K41" s="171"/>
      <c r="L41" s="81" t="s">
        <v>89</v>
      </c>
      <c r="M41" s="101">
        <f>J40-M40</f>
        <v>-207796.09999999998</v>
      </c>
      <c r="N41" s="15"/>
    </row>
    <row r="42" spans="2:14" x14ac:dyDescent="0.3">
      <c r="D42" s="39"/>
      <c r="L42" s="66"/>
      <c r="M42" s="39"/>
    </row>
    <row r="43" spans="2:14" x14ac:dyDescent="0.3">
      <c r="B43" s="172" t="s">
        <v>200</v>
      </c>
      <c r="C43" s="172"/>
      <c r="D43" s="57"/>
      <c r="E43" s="15"/>
      <c r="F43" s="126" t="e">
        <f>D43/E43</f>
        <v>#DIV/0!</v>
      </c>
      <c r="G43" s="60"/>
      <c r="H43" s="97" t="e">
        <f>F43*G43</f>
        <v>#DIV/0!</v>
      </c>
      <c r="I43" s="15"/>
      <c r="J43" s="15"/>
      <c r="K43" s="5"/>
      <c r="L43" s="15"/>
      <c r="M43" s="15"/>
      <c r="N43" s="15"/>
    </row>
    <row r="44" spans="2:14" x14ac:dyDescent="0.3">
      <c r="B44" s="172" t="s">
        <v>200</v>
      </c>
      <c r="C44" s="172"/>
      <c r="D44" s="57"/>
      <c r="E44" s="15"/>
      <c r="F44" s="126" t="e">
        <f>D44/E44</f>
        <v>#DIV/0!</v>
      </c>
      <c r="G44" s="60"/>
      <c r="H44" s="97" t="e">
        <f>F44*G44</f>
        <v>#DIV/0!</v>
      </c>
      <c r="I44" s="15"/>
      <c r="J44" s="15"/>
      <c r="K44" s="5"/>
      <c r="L44" s="15"/>
      <c r="M44" s="15"/>
      <c r="N44" s="15"/>
    </row>
    <row r="45" spans="2:14" x14ac:dyDescent="0.3">
      <c r="H45" s="107" t="e">
        <f>H43+H44</f>
        <v>#DIV/0!</v>
      </c>
    </row>
    <row r="54" spans="6:10" x14ac:dyDescent="0.3">
      <c r="F54" s="39"/>
    </row>
    <row r="56" spans="6:10" x14ac:dyDescent="0.3">
      <c r="J56" s="1" t="s">
        <v>138</v>
      </c>
    </row>
  </sheetData>
  <mergeCells count="25">
    <mergeCell ref="L32:M32"/>
    <mergeCell ref="B1:F1"/>
    <mergeCell ref="H1:I1"/>
    <mergeCell ref="K1:L1"/>
    <mergeCell ref="B2:C2"/>
    <mergeCell ref="H2:I2"/>
    <mergeCell ref="B3:F3"/>
    <mergeCell ref="G3:I3"/>
    <mergeCell ref="J3:N3"/>
    <mergeCell ref="J38:K38"/>
    <mergeCell ref="G14:I14"/>
    <mergeCell ref="H15:I15"/>
    <mergeCell ref="H16:I16"/>
    <mergeCell ref="G17:I17"/>
    <mergeCell ref="J32:K32"/>
    <mergeCell ref="J33:K33"/>
    <mergeCell ref="J34:K34"/>
    <mergeCell ref="J35:K35"/>
    <mergeCell ref="J36:K36"/>
    <mergeCell ref="J37:K37"/>
    <mergeCell ref="J39:K39"/>
    <mergeCell ref="J40:K40"/>
    <mergeCell ref="J41:K41"/>
    <mergeCell ref="B43:C43"/>
    <mergeCell ref="B44:C44"/>
  </mergeCells>
  <conditionalFormatting sqref="K1:L1">
    <cfRule type="cellIs" dxfId="11" priority="3" operator="greaterThan">
      <formula>0</formula>
    </cfRule>
    <cfRule type="cellIs" dxfId="10" priority="4" operator="lessThan">
      <formula>0</formula>
    </cfRule>
  </conditionalFormatting>
  <conditionalFormatting sqref="L5">
    <cfRule type="duplicateValues" dxfId="9" priority="1"/>
  </conditionalFormatting>
  <conditionalFormatting sqref="L6">
    <cfRule type="duplicateValues" dxfId="8" priority="2"/>
  </conditionalFormatting>
  <conditionalFormatting sqref="L7:L22">
    <cfRule type="duplicateValues" dxfId="7" priority="5"/>
  </conditionalFormatting>
  <conditionalFormatting sqref="M5:M22">
    <cfRule type="duplicateValues" dxfId="6" priority="6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22D0D-B766-46D5-91D5-57B64E8762DA}">
  <dimension ref="B1:N56"/>
  <sheetViews>
    <sheetView zoomScale="103" zoomScaleNormal="100" workbookViewId="0">
      <pane ySplit="1" topLeftCell="A2" activePane="bottomLeft" state="frozen"/>
      <selection pane="bottomLeft" activeCell="E34" sqref="E34"/>
    </sheetView>
  </sheetViews>
  <sheetFormatPr defaultRowHeight="14.4" x14ac:dyDescent="0.3"/>
  <cols>
    <col min="1" max="1" width="2.21875" style="1" customWidth="1"/>
    <col min="2" max="2" width="3" style="6" bestFit="1" customWidth="1"/>
    <col min="3" max="3" width="12.88671875" style="6" customWidth="1"/>
    <col min="4" max="4" width="14" style="1" bestFit="1" customWidth="1"/>
    <col min="5" max="5" width="20.21875" style="1" bestFit="1" customWidth="1"/>
    <col min="6" max="6" width="27.5546875" style="1" bestFit="1" customWidth="1"/>
    <col min="7" max="7" width="10.88671875" style="1" bestFit="1" customWidth="1"/>
    <col min="8" max="8" width="14.77734375" style="1" bestFit="1" customWidth="1"/>
    <col min="9" max="9" width="9.77734375" style="1" customWidth="1"/>
    <col min="10" max="10" width="8.33203125" style="1" customWidth="1"/>
    <col min="11" max="11" width="10.88671875" style="1" bestFit="1" customWidth="1"/>
    <col min="12" max="12" width="40" style="1" bestFit="1" customWidth="1"/>
    <col min="13" max="13" width="15.88671875" style="1" customWidth="1"/>
    <col min="14" max="14" width="22.5546875" style="1" customWidth="1"/>
    <col min="15" max="16384" width="8.88671875" style="1"/>
  </cols>
  <sheetData>
    <row r="1" spans="2:14" ht="16.2" thickBot="1" x14ac:dyDescent="0.35">
      <c r="B1" s="186" t="s">
        <v>310</v>
      </c>
      <c r="C1" s="187"/>
      <c r="D1" s="187"/>
      <c r="E1" s="187"/>
      <c r="F1" s="188"/>
      <c r="G1" s="16" t="s">
        <v>25</v>
      </c>
      <c r="H1" s="176">
        <v>46316</v>
      </c>
      <c r="I1" s="177"/>
      <c r="J1" s="17" t="s">
        <v>15</v>
      </c>
      <c r="K1" s="189">
        <f>M2-E2</f>
        <v>-300000</v>
      </c>
      <c r="L1" s="190"/>
      <c r="M1" s="18"/>
      <c r="N1" s="19"/>
    </row>
    <row r="2" spans="2:14" ht="15.6" x14ac:dyDescent="0.3">
      <c r="B2" s="191"/>
      <c r="C2" s="192"/>
      <c r="D2" s="13" t="s">
        <v>14</v>
      </c>
      <c r="E2" s="12">
        <f>SUM(E5:E30)</f>
        <v>300000</v>
      </c>
      <c r="F2" s="20"/>
      <c r="G2" s="31" t="s">
        <v>32</v>
      </c>
      <c r="H2" s="178" t="str">
        <f ca="1">IF(ISBLANK(H1),"0 Days",CONCATENATE(_xlfn.DAYS(TODAY()+1, H1)," days"))</f>
        <v>0 days</v>
      </c>
      <c r="I2" s="193"/>
      <c r="J2" s="37"/>
      <c r="K2" s="10"/>
      <c r="L2" s="11" t="s">
        <v>14</v>
      </c>
      <c r="M2" s="12">
        <f>SUM(M5:M22)</f>
        <v>0</v>
      </c>
      <c r="N2" s="20"/>
    </row>
    <row r="3" spans="2:14" x14ac:dyDescent="0.3">
      <c r="B3" s="194" t="s">
        <v>36</v>
      </c>
      <c r="C3" s="195"/>
      <c r="D3" s="196"/>
      <c r="E3" s="196"/>
      <c r="F3" s="197"/>
      <c r="G3" s="180" t="s">
        <v>33</v>
      </c>
      <c r="H3" s="181"/>
      <c r="I3" s="181"/>
      <c r="J3" s="194" t="s">
        <v>37</v>
      </c>
      <c r="K3" s="195"/>
      <c r="L3" s="196"/>
      <c r="M3" s="196"/>
      <c r="N3" s="197"/>
    </row>
    <row r="4" spans="2:14" x14ac:dyDescent="0.3">
      <c r="B4" s="40" t="s">
        <v>0</v>
      </c>
      <c r="C4" s="2" t="s">
        <v>3</v>
      </c>
      <c r="D4" s="3" t="s">
        <v>1</v>
      </c>
      <c r="E4" s="3" t="s">
        <v>13</v>
      </c>
      <c r="F4" s="22" t="s">
        <v>2</v>
      </c>
      <c r="G4" s="21" t="s">
        <v>3</v>
      </c>
      <c r="H4" s="99" t="s">
        <v>26</v>
      </c>
      <c r="I4" s="99" t="s">
        <v>32</v>
      </c>
      <c r="J4" s="40" t="s">
        <v>0</v>
      </c>
      <c r="K4" s="2" t="s">
        <v>3</v>
      </c>
      <c r="L4" s="3" t="s">
        <v>1</v>
      </c>
      <c r="M4" s="3" t="s">
        <v>13</v>
      </c>
      <c r="N4" s="22" t="s">
        <v>2</v>
      </c>
    </row>
    <row r="5" spans="2:14" x14ac:dyDescent="0.3">
      <c r="B5" s="40">
        <v>1</v>
      </c>
      <c r="C5" s="7">
        <v>46316</v>
      </c>
      <c r="D5" s="26" t="s">
        <v>19</v>
      </c>
      <c r="E5" s="9">
        <v>280000</v>
      </c>
      <c r="F5" s="23" t="s">
        <v>317</v>
      </c>
      <c r="G5" s="43"/>
      <c r="H5" s="44"/>
      <c r="I5" s="47" t="str">
        <f>IF(ISBLANK(G5),"",CONCATENATE(G5-$H$1+1," days"))</f>
        <v/>
      </c>
      <c r="J5" s="21">
        <v>1</v>
      </c>
      <c r="K5" s="43"/>
      <c r="L5" s="3"/>
      <c r="M5" s="5"/>
      <c r="N5" s="22"/>
    </row>
    <row r="6" spans="2:14" x14ac:dyDescent="0.3">
      <c r="B6" s="40">
        <v>2</v>
      </c>
      <c r="C6" s="7">
        <v>46316</v>
      </c>
      <c r="D6" s="3" t="s">
        <v>244</v>
      </c>
      <c r="E6" s="5">
        <v>20000</v>
      </c>
      <c r="F6" s="23" t="s">
        <v>318</v>
      </c>
      <c r="G6" s="43"/>
      <c r="H6" s="44"/>
      <c r="I6" s="47" t="str">
        <f t="shared" ref="I6:I13" si="0">IF(ISBLANK(G6),"",CONCATENATE(G6-$H$1+1," days"))</f>
        <v/>
      </c>
      <c r="J6" s="21">
        <v>2</v>
      </c>
      <c r="K6" s="43"/>
      <c r="L6" s="3"/>
      <c r="M6" s="5"/>
      <c r="N6" s="22"/>
    </row>
    <row r="7" spans="2:14" x14ac:dyDescent="0.3">
      <c r="B7" s="40">
        <v>3</v>
      </c>
      <c r="C7" s="7"/>
      <c r="D7" s="3"/>
      <c r="E7" s="5"/>
      <c r="F7" s="23"/>
      <c r="G7" s="43"/>
      <c r="H7" s="44"/>
      <c r="I7" s="47" t="str">
        <f t="shared" si="0"/>
        <v/>
      </c>
      <c r="J7" s="21">
        <v>3</v>
      </c>
      <c r="K7" s="4"/>
      <c r="L7" s="3"/>
      <c r="M7" s="5"/>
      <c r="N7" s="22"/>
    </row>
    <row r="8" spans="2:14" x14ac:dyDescent="0.3">
      <c r="B8" s="40">
        <v>4</v>
      </c>
      <c r="C8" s="7"/>
      <c r="D8" s="3"/>
      <c r="E8" s="5"/>
      <c r="F8" s="22"/>
      <c r="G8" s="43"/>
      <c r="H8" s="44"/>
      <c r="I8" s="47" t="str">
        <f t="shared" si="0"/>
        <v/>
      </c>
      <c r="J8" s="21">
        <v>4</v>
      </c>
      <c r="K8" s="4"/>
      <c r="L8" s="3"/>
      <c r="M8" s="5"/>
      <c r="N8" s="22"/>
    </row>
    <row r="9" spans="2:14" x14ac:dyDescent="0.3">
      <c r="B9" s="40">
        <v>5</v>
      </c>
      <c r="C9" s="43"/>
      <c r="D9" s="3"/>
      <c r="E9" s="9"/>
      <c r="F9" s="22"/>
      <c r="G9" s="46"/>
      <c r="H9" s="44"/>
      <c r="I9" s="47" t="str">
        <f t="shared" si="0"/>
        <v/>
      </c>
      <c r="J9" s="21">
        <v>5</v>
      </c>
      <c r="K9" s="4"/>
      <c r="L9" s="3"/>
      <c r="M9" s="5"/>
      <c r="N9" s="22"/>
    </row>
    <row r="10" spans="2:14" x14ac:dyDescent="0.3">
      <c r="B10" s="40">
        <v>6</v>
      </c>
      <c r="C10" s="127"/>
      <c r="D10" s="3"/>
      <c r="E10" s="9"/>
      <c r="F10" s="22"/>
      <c r="G10" s="46"/>
      <c r="H10" s="44"/>
      <c r="I10" s="47" t="str">
        <f t="shared" si="0"/>
        <v/>
      </c>
      <c r="J10" s="21">
        <v>6</v>
      </c>
      <c r="K10" s="2"/>
      <c r="L10" s="3"/>
      <c r="M10" s="5"/>
      <c r="N10" s="22"/>
    </row>
    <row r="11" spans="2:14" x14ac:dyDescent="0.3">
      <c r="B11" s="40">
        <v>7</v>
      </c>
      <c r="C11" s="127"/>
      <c r="D11" s="3"/>
      <c r="E11" s="5"/>
      <c r="F11" s="22"/>
      <c r="G11" s="46"/>
      <c r="H11" s="44"/>
      <c r="I11" s="47" t="str">
        <f t="shared" si="0"/>
        <v/>
      </c>
      <c r="J11" s="21">
        <v>7</v>
      </c>
      <c r="K11" s="2"/>
      <c r="L11" s="3"/>
      <c r="M11" s="5"/>
      <c r="N11" s="22"/>
    </row>
    <row r="12" spans="2:14" x14ac:dyDescent="0.3">
      <c r="B12" s="40">
        <v>8</v>
      </c>
      <c r="C12" s="7"/>
      <c r="D12" s="3"/>
      <c r="E12" s="5"/>
      <c r="F12" s="55"/>
      <c r="G12" s="46"/>
      <c r="H12" s="109"/>
      <c r="I12" s="121" t="str">
        <f t="shared" si="0"/>
        <v/>
      </c>
      <c r="J12" s="40">
        <v>8</v>
      </c>
      <c r="K12" s="2"/>
      <c r="L12" s="3"/>
      <c r="M12" s="5"/>
      <c r="N12" s="22"/>
    </row>
    <row r="13" spans="2:14" x14ac:dyDescent="0.3">
      <c r="B13" s="40">
        <v>9</v>
      </c>
      <c r="C13" s="7"/>
      <c r="D13" s="3"/>
      <c r="E13" s="5"/>
      <c r="F13" s="55"/>
      <c r="G13" s="46"/>
      <c r="H13" s="109"/>
      <c r="I13" s="121" t="str">
        <f t="shared" si="0"/>
        <v/>
      </c>
      <c r="J13" s="40">
        <v>9</v>
      </c>
      <c r="K13" s="2"/>
      <c r="L13" s="3"/>
      <c r="M13" s="5"/>
      <c r="N13" s="22"/>
    </row>
    <row r="14" spans="2:14" ht="15" thickBot="1" x14ac:dyDescent="0.35">
      <c r="B14" s="40">
        <v>10</v>
      </c>
      <c r="C14" s="127"/>
      <c r="D14" s="3"/>
      <c r="E14" s="9"/>
      <c r="F14" s="67"/>
      <c r="G14" s="173" t="s">
        <v>57</v>
      </c>
      <c r="H14" s="174"/>
      <c r="I14" s="175"/>
      <c r="J14" s="21">
        <v>10</v>
      </c>
      <c r="K14" s="2"/>
      <c r="L14" s="3"/>
      <c r="M14" s="5"/>
      <c r="N14" s="22"/>
    </row>
    <row r="15" spans="2:14" ht="15" thickBot="1" x14ac:dyDescent="0.35">
      <c r="B15" s="40">
        <v>11</v>
      </c>
      <c r="C15" s="7"/>
      <c r="D15" s="3"/>
      <c r="E15" s="5"/>
      <c r="F15" s="22"/>
      <c r="G15" s="16" t="s">
        <v>25</v>
      </c>
      <c r="H15" s="176">
        <v>46316</v>
      </c>
      <c r="I15" s="177"/>
      <c r="J15" s="21">
        <v>11</v>
      </c>
      <c r="K15" s="2"/>
      <c r="L15" s="3"/>
      <c r="M15" s="5"/>
      <c r="N15" s="22"/>
    </row>
    <row r="16" spans="2:14" x14ac:dyDescent="0.3">
      <c r="B16" s="40">
        <v>12</v>
      </c>
      <c r="C16" s="7"/>
      <c r="D16" s="3"/>
      <c r="E16" s="5"/>
      <c r="F16" s="22"/>
      <c r="G16" s="31" t="s">
        <v>32</v>
      </c>
      <c r="H16" s="178" t="str">
        <f ca="1">IF(ISBLANK(H15),"0 Days",CONCATENATE(_xlfn.DAYS(TODAY()+1, H1)," days"))</f>
        <v>0 days</v>
      </c>
      <c r="I16" s="179"/>
      <c r="J16" s="21">
        <v>12</v>
      </c>
      <c r="K16" s="2"/>
      <c r="L16" s="3"/>
      <c r="M16" s="5"/>
      <c r="N16" s="22"/>
    </row>
    <row r="17" spans="2:14" x14ac:dyDescent="0.3">
      <c r="B17" s="40">
        <v>13</v>
      </c>
      <c r="C17" s="7"/>
      <c r="D17" s="3"/>
      <c r="E17" s="5"/>
      <c r="F17" s="22"/>
      <c r="G17" s="180" t="s">
        <v>33</v>
      </c>
      <c r="H17" s="181"/>
      <c r="I17" s="182"/>
      <c r="J17" s="21">
        <v>13</v>
      </c>
      <c r="K17" s="2"/>
      <c r="L17" s="3"/>
      <c r="M17" s="5"/>
      <c r="N17" s="22"/>
    </row>
    <row r="18" spans="2:14" x14ac:dyDescent="0.3">
      <c r="B18" s="40">
        <v>14</v>
      </c>
      <c r="C18" s="7"/>
      <c r="D18" s="3"/>
      <c r="E18" s="5"/>
      <c r="F18" s="22"/>
      <c r="G18" s="21" t="s">
        <v>3</v>
      </c>
      <c r="H18" s="2" t="s">
        <v>26</v>
      </c>
      <c r="I18" s="2" t="s">
        <v>32</v>
      </c>
      <c r="J18" s="40">
        <v>14</v>
      </c>
      <c r="K18" s="2"/>
      <c r="L18" s="3"/>
      <c r="M18" s="5"/>
      <c r="N18" s="22"/>
    </row>
    <row r="19" spans="2:14" x14ac:dyDescent="0.3">
      <c r="B19" s="40">
        <v>15</v>
      </c>
      <c r="C19" s="7"/>
      <c r="D19" s="3"/>
      <c r="E19" s="5"/>
      <c r="F19" s="22"/>
      <c r="G19" s="43"/>
      <c r="H19" s="44"/>
      <c r="I19" s="47" t="str">
        <f>IF(ISBLANK(G19),"",CONCATENATE(G19-$H$15+1," days"))</f>
        <v/>
      </c>
      <c r="J19" s="21">
        <v>15</v>
      </c>
      <c r="K19" s="2"/>
      <c r="L19" s="3"/>
      <c r="M19" s="5"/>
      <c r="N19" s="22"/>
    </row>
    <row r="20" spans="2:14" x14ac:dyDescent="0.3">
      <c r="B20" s="40">
        <v>16</v>
      </c>
      <c r="C20" s="4"/>
      <c r="D20" s="3"/>
      <c r="E20" s="5"/>
      <c r="F20" s="22"/>
      <c r="G20" s="43"/>
      <c r="H20" s="44"/>
      <c r="I20" s="47" t="str">
        <f t="shared" ref="I20:I25" si="1">IF(ISBLANK(G20),"",CONCATENATE(G20-$H$15+1," days"))</f>
        <v/>
      </c>
      <c r="J20" s="21">
        <v>16</v>
      </c>
      <c r="K20" s="2"/>
      <c r="L20" s="3"/>
      <c r="M20" s="5"/>
      <c r="N20" s="22"/>
    </row>
    <row r="21" spans="2:14" x14ac:dyDescent="0.3">
      <c r="B21" s="40">
        <v>17</v>
      </c>
      <c r="C21" s="4"/>
      <c r="D21" s="3"/>
      <c r="E21" s="5"/>
      <c r="F21" s="22"/>
      <c r="G21" s="46"/>
      <c r="H21" s="44"/>
      <c r="I21" s="47" t="str">
        <f t="shared" si="1"/>
        <v/>
      </c>
      <c r="J21" s="21">
        <v>17</v>
      </c>
      <c r="K21" s="2"/>
      <c r="L21" s="3"/>
      <c r="M21" s="5"/>
      <c r="N21" s="22"/>
    </row>
    <row r="22" spans="2:14" x14ac:dyDescent="0.3">
      <c r="B22" s="40">
        <v>18</v>
      </c>
      <c r="C22" s="4"/>
      <c r="D22" s="3"/>
      <c r="E22" s="5"/>
      <c r="F22" s="22"/>
      <c r="G22" s="46"/>
      <c r="H22" s="44"/>
      <c r="I22" s="47" t="str">
        <f t="shared" si="1"/>
        <v/>
      </c>
      <c r="J22" s="21">
        <v>18</v>
      </c>
      <c r="K22" s="2"/>
      <c r="L22" s="3"/>
      <c r="M22" s="5"/>
      <c r="N22" s="22"/>
    </row>
    <row r="23" spans="2:14" x14ac:dyDescent="0.3">
      <c r="B23" s="40">
        <v>19</v>
      </c>
      <c r="C23" s="4"/>
      <c r="D23" s="3"/>
      <c r="E23" s="5"/>
      <c r="F23" s="22"/>
      <c r="G23" s="46"/>
      <c r="H23" s="44"/>
      <c r="I23" s="47" t="str">
        <f t="shared" si="1"/>
        <v/>
      </c>
      <c r="J23" s="21">
        <v>19</v>
      </c>
      <c r="K23" s="15"/>
      <c r="L23" s="15"/>
      <c r="M23" s="15"/>
      <c r="N23" s="33"/>
    </row>
    <row r="24" spans="2:14" x14ac:dyDescent="0.3">
      <c r="B24" s="40">
        <v>20</v>
      </c>
      <c r="C24" s="4"/>
      <c r="D24" s="3"/>
      <c r="E24" s="5"/>
      <c r="F24" s="22"/>
      <c r="G24" s="34"/>
      <c r="H24" s="44"/>
      <c r="I24" s="47" t="str">
        <f t="shared" si="1"/>
        <v/>
      </c>
      <c r="J24" s="21">
        <v>20</v>
      </c>
      <c r="K24" s="15"/>
      <c r="L24" s="15"/>
      <c r="M24" s="15"/>
      <c r="N24" s="33"/>
    </row>
    <row r="25" spans="2:14" x14ac:dyDescent="0.3">
      <c r="B25" s="40">
        <v>21</v>
      </c>
      <c r="C25" s="4"/>
      <c r="D25" s="3"/>
      <c r="E25" s="5"/>
      <c r="F25" s="22"/>
      <c r="G25" s="34"/>
      <c r="H25" s="44"/>
      <c r="I25" s="47" t="str">
        <f t="shared" si="1"/>
        <v/>
      </c>
      <c r="J25" s="21">
        <v>21</v>
      </c>
      <c r="K25" s="15"/>
      <c r="L25" s="15"/>
      <c r="M25" s="15"/>
      <c r="N25" s="33"/>
    </row>
    <row r="26" spans="2:14" x14ac:dyDescent="0.3">
      <c r="B26" s="40">
        <v>22</v>
      </c>
      <c r="C26" s="4"/>
      <c r="D26" s="3"/>
      <c r="E26" s="5"/>
      <c r="F26" s="22"/>
      <c r="G26" s="34"/>
      <c r="H26" s="44"/>
      <c r="I26" s="47"/>
      <c r="J26" s="21">
        <v>22</v>
      </c>
      <c r="K26" s="15"/>
      <c r="L26" s="15"/>
      <c r="M26" s="15"/>
      <c r="N26" s="33"/>
    </row>
    <row r="27" spans="2:14" x14ac:dyDescent="0.3">
      <c r="B27" s="40">
        <v>23</v>
      </c>
      <c r="C27" s="4"/>
      <c r="D27" s="3"/>
      <c r="E27" s="5"/>
      <c r="F27" s="22"/>
      <c r="G27" s="34"/>
      <c r="H27" s="44"/>
      <c r="I27" s="47"/>
      <c r="J27" s="21">
        <v>23</v>
      </c>
      <c r="K27" s="15"/>
      <c r="L27" s="15"/>
      <c r="M27" s="15"/>
      <c r="N27" s="33"/>
    </row>
    <row r="28" spans="2:14" x14ac:dyDescent="0.3">
      <c r="B28" s="40">
        <v>24</v>
      </c>
      <c r="C28" s="4"/>
      <c r="D28" s="3"/>
      <c r="E28" s="5"/>
      <c r="F28" s="22"/>
      <c r="G28" s="34"/>
      <c r="H28" s="44"/>
      <c r="I28" s="47"/>
      <c r="J28" s="21">
        <v>24</v>
      </c>
      <c r="K28" s="15"/>
      <c r="L28" s="15"/>
      <c r="M28" s="15"/>
      <c r="N28" s="33"/>
    </row>
    <row r="29" spans="2:14" x14ac:dyDescent="0.3">
      <c r="B29" s="40">
        <v>25</v>
      </c>
      <c r="C29" s="69"/>
      <c r="D29" s="70"/>
      <c r="E29" s="71"/>
      <c r="F29" s="72"/>
      <c r="G29" s="73"/>
      <c r="H29" s="74"/>
      <c r="I29" s="75"/>
      <c r="J29" s="21">
        <v>25</v>
      </c>
      <c r="K29" s="68"/>
      <c r="L29" s="68"/>
      <c r="M29" s="68"/>
      <c r="N29" s="76"/>
    </row>
    <row r="30" spans="2:14" ht="15" thickBot="1" x14ac:dyDescent="0.35">
      <c r="B30" s="77"/>
      <c r="C30" s="27"/>
      <c r="D30" s="28"/>
      <c r="E30" s="61"/>
      <c r="F30" s="62"/>
      <c r="G30" s="35"/>
      <c r="H30" s="45"/>
      <c r="I30" s="49"/>
      <c r="J30" s="35"/>
      <c r="K30" s="38"/>
      <c r="L30" s="68"/>
      <c r="M30" s="68"/>
      <c r="N30" s="76"/>
    </row>
    <row r="31" spans="2:14" x14ac:dyDescent="0.3">
      <c r="B31" s="24"/>
      <c r="C31" s="25"/>
      <c r="D31" s="26"/>
      <c r="E31" s="64" t="s">
        <v>65</v>
      </c>
      <c r="F31" s="84">
        <f>H31+J31</f>
        <v>0</v>
      </c>
      <c r="G31" s="90" t="s">
        <v>186</v>
      </c>
      <c r="H31" s="84"/>
      <c r="I31" s="59" t="s">
        <v>187</v>
      </c>
      <c r="J31" s="84"/>
      <c r="K31" s="84"/>
      <c r="L31" s="96"/>
      <c r="M31" s="130"/>
      <c r="N31" s="15"/>
    </row>
    <row r="32" spans="2:14" x14ac:dyDescent="0.3">
      <c r="E32" s="59" t="s">
        <v>62</v>
      </c>
      <c r="F32" s="90" t="s">
        <v>54</v>
      </c>
      <c r="G32" s="90" t="s">
        <v>26</v>
      </c>
      <c r="H32" s="90" t="s">
        <v>95</v>
      </c>
      <c r="I32" s="90" t="s">
        <v>63</v>
      </c>
      <c r="J32" s="183" t="s">
        <v>64</v>
      </c>
      <c r="K32" s="183"/>
      <c r="L32" s="184" t="s">
        <v>158</v>
      </c>
      <c r="M32" s="185"/>
      <c r="N32" s="15"/>
    </row>
    <row r="33" spans="2:14" x14ac:dyDescent="0.3">
      <c r="E33" s="15"/>
      <c r="F33" s="57">
        <f>H33*G33</f>
        <v>0</v>
      </c>
      <c r="G33" s="57"/>
      <c r="H33" s="65"/>
      <c r="I33" s="60"/>
      <c r="J33" s="169">
        <f>H33*I33</f>
        <v>0</v>
      </c>
      <c r="K33" s="169"/>
      <c r="L33" s="83"/>
      <c r="M33" s="131"/>
      <c r="N33" s="15"/>
    </row>
    <row r="34" spans="2:14" x14ac:dyDescent="0.3">
      <c r="E34" s="15"/>
      <c r="F34" s="57">
        <f t="shared" ref="F34:F39" si="2">H34*G34</f>
        <v>0</v>
      </c>
      <c r="G34" s="57"/>
      <c r="H34" s="65"/>
      <c r="I34" s="60"/>
      <c r="J34" s="169">
        <f t="shared" ref="J34:J39" si="3">H34*I34</f>
        <v>0</v>
      </c>
      <c r="K34" s="169"/>
      <c r="L34" s="83"/>
      <c r="M34" s="131"/>
      <c r="N34" s="15"/>
    </row>
    <row r="35" spans="2:14" x14ac:dyDescent="0.3">
      <c r="C35" s="122"/>
      <c r="E35" s="15"/>
      <c r="F35" s="57">
        <f t="shared" si="2"/>
        <v>0</v>
      </c>
      <c r="G35" s="57"/>
      <c r="H35" s="65"/>
      <c r="I35" s="60"/>
      <c r="J35" s="169">
        <f t="shared" si="3"/>
        <v>0</v>
      </c>
      <c r="K35" s="169"/>
      <c r="L35" s="83"/>
      <c r="M35" s="131"/>
      <c r="N35" s="15" t="s">
        <v>138</v>
      </c>
    </row>
    <row r="36" spans="2:14" x14ac:dyDescent="0.3">
      <c r="E36" s="15"/>
      <c r="F36" s="57">
        <f t="shared" si="2"/>
        <v>0</v>
      </c>
      <c r="G36" s="57"/>
      <c r="H36" s="65"/>
      <c r="I36" s="60"/>
      <c r="J36" s="169">
        <f t="shared" si="3"/>
        <v>0</v>
      </c>
      <c r="K36" s="169"/>
      <c r="L36" s="83"/>
      <c r="M36" s="131"/>
      <c r="N36" s="15"/>
    </row>
    <row r="37" spans="2:14" x14ac:dyDescent="0.3">
      <c r="E37" s="15"/>
      <c r="F37" s="57">
        <f t="shared" si="2"/>
        <v>0</v>
      </c>
      <c r="G37" s="57"/>
      <c r="H37" s="65"/>
      <c r="I37" s="60"/>
      <c r="J37" s="169">
        <f t="shared" si="3"/>
        <v>0</v>
      </c>
      <c r="K37" s="169"/>
      <c r="L37" s="83"/>
      <c r="M37" s="131"/>
      <c r="N37" s="15"/>
    </row>
    <row r="38" spans="2:14" x14ac:dyDescent="0.3">
      <c r="E38" s="15"/>
      <c r="F38" s="57">
        <f t="shared" si="2"/>
        <v>0</v>
      </c>
      <c r="G38" s="57"/>
      <c r="H38" s="65"/>
      <c r="I38" s="60"/>
      <c r="J38" s="169">
        <f t="shared" si="3"/>
        <v>0</v>
      </c>
      <c r="K38" s="169"/>
      <c r="L38" s="83"/>
      <c r="M38" s="131"/>
      <c r="N38" s="15"/>
    </row>
    <row r="39" spans="2:14" x14ac:dyDescent="0.3">
      <c r="E39" s="15"/>
      <c r="F39" s="57">
        <f t="shared" si="2"/>
        <v>0</v>
      </c>
      <c r="G39" s="57"/>
      <c r="H39" s="65"/>
      <c r="I39" s="60"/>
      <c r="J39" s="169">
        <f t="shared" si="3"/>
        <v>0</v>
      </c>
      <c r="K39" s="169"/>
      <c r="L39" s="83"/>
      <c r="M39" s="131"/>
      <c r="N39" s="15"/>
    </row>
    <row r="40" spans="2:14" x14ac:dyDescent="0.3">
      <c r="E40" s="50" t="s">
        <v>61</v>
      </c>
      <c r="F40" s="58">
        <f>SUM(F33:F38)</f>
        <v>0</v>
      </c>
      <c r="G40" s="58"/>
      <c r="H40" s="82">
        <f>SUM(H33:H39)</f>
        <v>0</v>
      </c>
      <c r="I40" s="50"/>
      <c r="J40" s="170">
        <f>SUM(J33:J39)</f>
        <v>0</v>
      </c>
      <c r="K40" s="170"/>
      <c r="L40" s="50" t="s">
        <v>88</v>
      </c>
      <c r="M40" s="132">
        <f>SUM(M33:M39)</f>
        <v>0</v>
      </c>
      <c r="N40" s="15"/>
    </row>
    <row r="41" spans="2:14" ht="15" thickBot="1" x14ac:dyDescent="0.35">
      <c r="E41" s="50" t="s">
        <v>126</v>
      </c>
      <c r="F41" s="105" t="e">
        <f>CONCATENATE(ROUND((F40/F31)*100,2),"%")</f>
        <v>#DIV/0!</v>
      </c>
      <c r="G41" s="15"/>
      <c r="H41" s="56"/>
      <c r="I41" s="15"/>
      <c r="J41" s="171"/>
      <c r="K41" s="171"/>
      <c r="L41" s="81" t="s">
        <v>89</v>
      </c>
      <c r="M41" s="101">
        <f>J40-M40</f>
        <v>0</v>
      </c>
      <c r="N41" s="15"/>
    </row>
    <row r="42" spans="2:14" x14ac:dyDescent="0.3">
      <c r="D42" s="39"/>
      <c r="L42" s="66"/>
      <c r="M42" s="39"/>
    </row>
    <row r="43" spans="2:14" x14ac:dyDescent="0.3">
      <c r="B43" s="172" t="s">
        <v>200</v>
      </c>
      <c r="C43" s="172"/>
      <c r="D43" s="57"/>
      <c r="E43" s="15"/>
      <c r="F43" s="126" t="e">
        <f>D43/E43</f>
        <v>#DIV/0!</v>
      </c>
      <c r="G43" s="60"/>
      <c r="H43" s="97" t="e">
        <f>F43*G43</f>
        <v>#DIV/0!</v>
      </c>
      <c r="I43" s="15"/>
      <c r="J43" s="15"/>
      <c r="K43" s="5"/>
      <c r="L43" s="15"/>
      <c r="M43" s="15"/>
      <c r="N43" s="15"/>
    </row>
    <row r="44" spans="2:14" x14ac:dyDescent="0.3">
      <c r="B44" s="172" t="s">
        <v>200</v>
      </c>
      <c r="C44" s="172"/>
      <c r="D44" s="57"/>
      <c r="E44" s="15"/>
      <c r="F44" s="126" t="e">
        <f>D44/E44</f>
        <v>#DIV/0!</v>
      </c>
      <c r="G44" s="60"/>
      <c r="H44" s="97" t="e">
        <f>F44*G44</f>
        <v>#DIV/0!</v>
      </c>
      <c r="I44" s="15"/>
      <c r="J44" s="15"/>
      <c r="K44" s="5"/>
      <c r="L44" s="15"/>
      <c r="M44" s="15"/>
      <c r="N44" s="15"/>
    </row>
    <row r="45" spans="2:14" x14ac:dyDescent="0.3">
      <c r="H45" s="107" t="e">
        <f>H43+H44</f>
        <v>#DIV/0!</v>
      </c>
    </row>
    <row r="54" spans="6:10" x14ac:dyDescent="0.3">
      <c r="F54" s="39"/>
    </row>
    <row r="56" spans="6:10" x14ac:dyDescent="0.3">
      <c r="J56" s="1" t="s">
        <v>138</v>
      </c>
    </row>
  </sheetData>
  <mergeCells count="25">
    <mergeCell ref="J39:K39"/>
    <mergeCell ref="J40:K40"/>
    <mergeCell ref="J41:K41"/>
    <mergeCell ref="B43:C43"/>
    <mergeCell ref="B44:C44"/>
    <mergeCell ref="J38:K38"/>
    <mergeCell ref="G14:I14"/>
    <mergeCell ref="H15:I15"/>
    <mergeCell ref="H16:I16"/>
    <mergeCell ref="G17:I17"/>
    <mergeCell ref="J32:K32"/>
    <mergeCell ref="J33:K33"/>
    <mergeCell ref="J34:K34"/>
    <mergeCell ref="J35:K35"/>
    <mergeCell ref="J36:K36"/>
    <mergeCell ref="J37:K37"/>
    <mergeCell ref="L32:M32"/>
    <mergeCell ref="B1:F1"/>
    <mergeCell ref="H1:I1"/>
    <mergeCell ref="K1:L1"/>
    <mergeCell ref="B2:C2"/>
    <mergeCell ref="H2:I2"/>
    <mergeCell ref="B3:F3"/>
    <mergeCell ref="G3:I3"/>
    <mergeCell ref="J3:N3"/>
  </mergeCells>
  <conditionalFormatting sqref="K1:L1">
    <cfRule type="cellIs" dxfId="5" priority="3" operator="greaterThan">
      <formula>0</formula>
    </cfRule>
    <cfRule type="cellIs" dxfId="4" priority="4" operator="lessThan">
      <formula>0</formula>
    </cfRule>
  </conditionalFormatting>
  <conditionalFormatting sqref="L5">
    <cfRule type="duplicateValues" dxfId="3" priority="1"/>
  </conditionalFormatting>
  <conditionalFormatting sqref="L6">
    <cfRule type="duplicateValues" dxfId="2" priority="2"/>
  </conditionalFormatting>
  <conditionalFormatting sqref="L7:L22">
    <cfRule type="duplicateValues" dxfId="1" priority="5"/>
  </conditionalFormatting>
  <conditionalFormatting sqref="M5:M22">
    <cfRule type="duplicateValues" dxfId="0" priority="6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7927-4220-4E4C-ACDC-68E20558EC44}">
  <dimension ref="A1:V35"/>
  <sheetViews>
    <sheetView zoomScale="105" zoomScaleNormal="110" workbookViewId="0">
      <pane ySplit="1" topLeftCell="A2" activePane="bottomLeft" state="frozen"/>
      <selection pane="bottomLeft" activeCell="H23" sqref="H23"/>
    </sheetView>
  </sheetViews>
  <sheetFormatPr defaultRowHeight="14.4" x14ac:dyDescent="0.3"/>
  <cols>
    <col min="1" max="1" width="3.5546875" style="85" customWidth="1"/>
    <col min="2" max="2" width="18.5546875" style="124" bestFit="1" customWidth="1"/>
    <col min="3" max="3" width="8.109375" bestFit="1" customWidth="1"/>
    <col min="4" max="4" width="11.6640625" bestFit="1" customWidth="1"/>
    <col min="5" max="6" width="12.6640625" bestFit="1" customWidth="1"/>
    <col min="7" max="7" width="6.109375" bestFit="1" customWidth="1"/>
    <col min="8" max="8" width="7.33203125" bestFit="1" customWidth="1"/>
    <col min="9" max="9" width="10.33203125" hidden="1" customWidth="1"/>
    <col min="10" max="11" width="9.5546875" bestFit="1" customWidth="1"/>
    <col min="12" max="12" width="12.44140625" bestFit="1" customWidth="1"/>
    <col min="13" max="13" width="14.21875" bestFit="1" customWidth="1"/>
    <col min="17" max="17" width="6" customWidth="1"/>
    <col min="18" max="18" width="5.5546875" customWidth="1"/>
    <col min="19" max="19" width="12.44140625" bestFit="1" customWidth="1"/>
    <col min="20" max="20" width="15" bestFit="1" customWidth="1"/>
    <col min="21" max="21" width="9.6640625" customWidth="1"/>
    <col min="22" max="22" width="8.33203125" customWidth="1"/>
  </cols>
  <sheetData>
    <row r="1" spans="1:22" x14ac:dyDescent="0.3">
      <c r="A1" s="163" t="s">
        <v>0</v>
      </c>
      <c r="B1" s="164" t="s">
        <v>238</v>
      </c>
      <c r="C1" s="165" t="s">
        <v>96</v>
      </c>
      <c r="D1" s="166" t="s">
        <v>15</v>
      </c>
      <c r="E1" s="165" t="s">
        <v>37</v>
      </c>
      <c r="F1" s="166" t="s">
        <v>36</v>
      </c>
      <c r="G1" s="166" t="s">
        <v>26</v>
      </c>
      <c r="H1" s="163" t="s">
        <v>32</v>
      </c>
      <c r="I1" s="167"/>
      <c r="J1" s="168" t="s">
        <v>19</v>
      </c>
      <c r="K1" s="168" t="s">
        <v>296</v>
      </c>
      <c r="L1" s="168" t="s">
        <v>297</v>
      </c>
      <c r="M1" s="162"/>
      <c r="U1" s="112"/>
      <c r="V1" s="112"/>
    </row>
    <row r="2" spans="1:22" x14ac:dyDescent="0.3">
      <c r="A2" s="152">
        <v>1</v>
      </c>
      <c r="B2" s="153" t="str">
        <f>'Term-1'!$B$1</f>
        <v>May2023 - Sept2023</v>
      </c>
      <c r="C2" s="154" t="s">
        <v>97</v>
      </c>
      <c r="D2" s="155">
        <f>IF(F2="","",E2-F2)</f>
        <v>-790524</v>
      </c>
      <c r="E2" s="156">
        <f>'Term-1'!$M$2</f>
        <v>1260400</v>
      </c>
      <c r="F2" s="156">
        <f>'Term-1'!$E$2</f>
        <v>2050924</v>
      </c>
      <c r="G2" s="157">
        <f>MIN('Term-1'!H5:H11)</f>
        <v>80</v>
      </c>
      <c r="H2" s="158" t="str" cm="1">
        <f t="array" ref="H2:I2">'Term-1'!H2:I2</f>
        <v>75 days</v>
      </c>
      <c r="I2">
        <v>0</v>
      </c>
      <c r="J2" s="159">
        <f>'Term-1'!$F$31</f>
        <v>700000</v>
      </c>
      <c r="K2" s="159">
        <f>'Term-1'!$F$40</f>
        <v>424400</v>
      </c>
      <c r="L2" s="160" t="str">
        <f>'Term-1'!$F$41</f>
        <v>60.63%</v>
      </c>
    </row>
    <row r="3" spans="1:22" x14ac:dyDescent="0.3">
      <c r="A3" s="142">
        <v>2</v>
      </c>
      <c r="B3" s="143" t="str">
        <f>'Term-2'!$B$1</f>
        <v>Sept2023 - Nov2023</v>
      </c>
      <c r="C3" s="144" t="s">
        <v>98</v>
      </c>
      <c r="D3" s="145">
        <f t="shared" ref="D3:D7" si="0">IF(F3="","",E3-F3)</f>
        <v>-218110</v>
      </c>
      <c r="E3" s="146">
        <f>'Term-2'!$M$2</f>
        <v>300000</v>
      </c>
      <c r="F3" s="146">
        <f>'Term-2'!$E$2</f>
        <v>518110</v>
      </c>
      <c r="G3" s="147">
        <f>MIN('Term-2'!H5:H11)</f>
        <v>325</v>
      </c>
      <c r="H3" s="148" t="str" cm="1">
        <f t="array" ref="H3:I3">'Term-2'!H2:I2</f>
        <v>27 days</v>
      </c>
      <c r="I3" s="149">
        <v>0</v>
      </c>
      <c r="J3" s="150">
        <f>'Term-2'!$F$31</f>
        <v>800000</v>
      </c>
      <c r="K3" s="150">
        <f>'Term-2'!$F$40</f>
        <v>620000</v>
      </c>
      <c r="L3" s="151" t="str">
        <f>'Term-2'!$F$41</f>
        <v>77.5%</v>
      </c>
    </row>
    <row r="4" spans="1:22" x14ac:dyDescent="0.3">
      <c r="A4" s="86">
        <v>3</v>
      </c>
      <c r="B4" s="123" t="str">
        <f>'Term-3'!$B$1</f>
        <v>Nov2023 - Jan2024</v>
      </c>
      <c r="C4" s="8" t="s">
        <v>99</v>
      </c>
      <c r="D4" s="93">
        <f t="shared" si="0"/>
        <v>-470000</v>
      </c>
      <c r="E4" s="87">
        <f>'Term-3'!$M$2</f>
        <v>120000</v>
      </c>
      <c r="F4" s="87">
        <f>'Term-3'!$E$2</f>
        <v>590000</v>
      </c>
      <c r="G4" s="136">
        <f>MIN('Term-3'!H5:H11)</f>
        <v>325</v>
      </c>
      <c r="H4" s="135" t="str" cm="1">
        <f t="array" ref="H4:I4">'Term-3'!H2:I2</f>
        <v>37 days</v>
      </c>
      <c r="I4">
        <v>0</v>
      </c>
      <c r="J4" s="140">
        <f>'Term-3'!$F$31</f>
        <v>700000</v>
      </c>
      <c r="K4" s="140">
        <f>'Term-3'!$F$40</f>
        <v>390000</v>
      </c>
      <c r="L4" s="141" t="str">
        <f>'Term-3'!$F$41</f>
        <v>55.71%</v>
      </c>
    </row>
    <row r="5" spans="1:22" x14ac:dyDescent="0.3">
      <c r="A5" s="142">
        <v>4</v>
      </c>
      <c r="B5" s="143" t="str">
        <f>'Term-4'!$B$1</f>
        <v>Feb2024 - May2024</v>
      </c>
      <c r="C5" s="144" t="s">
        <v>100</v>
      </c>
      <c r="D5" s="145">
        <f t="shared" si="0"/>
        <v>1098545</v>
      </c>
      <c r="E5" s="146">
        <f>'Term-4'!$M$2</f>
        <v>2700044</v>
      </c>
      <c r="F5" s="146">
        <f>'Term-4'!$E$2</f>
        <v>1601499</v>
      </c>
      <c r="G5" s="147">
        <f>MIN('Term-4'!H5:H11)</f>
        <v>62</v>
      </c>
      <c r="H5" s="148" t="str" cm="1">
        <f t="array" ref="H5:I5">'Term-4'!H2:I2</f>
        <v>72 days</v>
      </c>
      <c r="I5" s="149">
        <v>0</v>
      </c>
      <c r="J5" s="150">
        <f>'Term-4'!$F$31</f>
        <v>700000</v>
      </c>
      <c r="K5" s="150">
        <f>'Term-4'!$F$40</f>
        <v>807868</v>
      </c>
      <c r="L5" s="151" t="str">
        <f>'Term-4'!$F$41</f>
        <v>115.41%</v>
      </c>
    </row>
    <row r="6" spans="1:22" x14ac:dyDescent="0.3">
      <c r="A6" s="86">
        <v>5</v>
      </c>
      <c r="B6" s="123" t="str">
        <f>'Term-5'!$B$1</f>
        <v>July 2024 - Sept2024</v>
      </c>
      <c r="C6" s="8" t="s">
        <v>101</v>
      </c>
      <c r="D6" s="93">
        <f t="shared" si="0"/>
        <v>391120</v>
      </c>
      <c r="E6" s="87">
        <f>'Term-5'!$M$2</f>
        <v>1612322</v>
      </c>
      <c r="F6" s="87">
        <f>'Term-5'!$E$2</f>
        <v>1221202</v>
      </c>
      <c r="G6" s="136">
        <f>MIN('Term-5'!H5:H11)</f>
        <v>110</v>
      </c>
      <c r="H6" s="135" t="str" cm="1">
        <f t="array" ref="H6:I6">'Term-5'!H2:I2</f>
        <v>58 days</v>
      </c>
      <c r="I6">
        <v>0</v>
      </c>
      <c r="J6" s="140">
        <f>'Term-5'!$F$31</f>
        <v>750000</v>
      </c>
      <c r="K6" s="140">
        <f>'Term-5'!$F$40</f>
        <v>696542.20000000007</v>
      </c>
      <c r="L6" s="141" t="str">
        <f>'Term-5'!$F$41</f>
        <v>92.87%</v>
      </c>
    </row>
    <row r="7" spans="1:22" x14ac:dyDescent="0.3">
      <c r="A7" s="142">
        <v>6</v>
      </c>
      <c r="B7" s="143" t="str">
        <f>'Term-6'!$B$1</f>
        <v>Sep2024 - Nov2024</v>
      </c>
      <c r="C7" s="144" t="s">
        <v>102</v>
      </c>
      <c r="D7" s="145">
        <f t="shared" si="0"/>
        <v>1002304</v>
      </c>
      <c r="E7" s="146">
        <f>'Term-6'!$M$2</f>
        <v>2415103</v>
      </c>
      <c r="F7" s="146">
        <f>'Term-6'!$E$2</f>
        <v>1412799</v>
      </c>
      <c r="G7" s="147">
        <f>MIN('Term-6'!H5:H11)</f>
        <v>65</v>
      </c>
      <c r="H7" s="148" t="str" cm="1">
        <f t="array" ref="H7:I7">'Term-6'!H2:I2</f>
        <v>73 days</v>
      </c>
      <c r="I7" s="149">
        <v>0</v>
      </c>
      <c r="J7" s="150">
        <f>'Term-6'!$F$31</f>
        <v>700000</v>
      </c>
      <c r="K7" s="150">
        <f>'Term-6'!$F$40</f>
        <v>526058.6</v>
      </c>
      <c r="L7" s="151" t="str">
        <f>'Term-6'!$F$41</f>
        <v>75.15%</v>
      </c>
    </row>
    <row r="8" spans="1:22" x14ac:dyDescent="0.3">
      <c r="A8" s="86">
        <v>7</v>
      </c>
      <c r="B8" s="123" t="str">
        <f>'Term-7'!$B$1</f>
        <v>Dec2024 - Feb2025</v>
      </c>
      <c r="C8" s="8" t="s">
        <v>115</v>
      </c>
      <c r="D8" s="93">
        <f t="shared" ref="D8:D10" si="1">IF(F8="","",E8-F8)</f>
        <v>528979</v>
      </c>
      <c r="E8" s="87">
        <f>'Term-7'!$M$2</f>
        <v>2031828</v>
      </c>
      <c r="F8" s="87">
        <f>'Term-7'!$E$2</f>
        <v>1502849</v>
      </c>
      <c r="G8" s="136">
        <f>MIN('Term-7'!H5:H11)</f>
        <v>97</v>
      </c>
      <c r="H8" s="135" t="str" cm="1">
        <f t="array" ref="H8:I8">'Term-7'!H2:I2</f>
        <v>79 days</v>
      </c>
      <c r="I8">
        <v>0</v>
      </c>
      <c r="J8" s="140">
        <f>'Term-7'!$F$31</f>
        <v>925000</v>
      </c>
      <c r="K8" s="140">
        <f>'Term-7'!$F$40</f>
        <v>842685</v>
      </c>
      <c r="L8" s="141" t="str">
        <f>'Term-7'!$F$41</f>
        <v>91.1%</v>
      </c>
    </row>
    <row r="9" spans="1:22" x14ac:dyDescent="0.3">
      <c r="A9" s="142">
        <v>8</v>
      </c>
      <c r="B9" s="143" t="str">
        <f>'Term-8'!$B$1</f>
        <v>Feb2025 - May2025</v>
      </c>
      <c r="C9" s="144" t="s">
        <v>155</v>
      </c>
      <c r="D9" s="145">
        <f t="shared" si="1"/>
        <v>405496</v>
      </c>
      <c r="E9" s="146">
        <f>'Term-8'!$M$2</f>
        <v>1791690</v>
      </c>
      <c r="F9" s="146">
        <f>'Term-8'!$E$2</f>
        <v>1386194</v>
      </c>
      <c r="G9" s="147">
        <f>MIN('Term-8'!H5:H11)</f>
        <v>67</v>
      </c>
      <c r="H9" s="148" t="str" cm="1">
        <f t="array" ref="H9:I9">'Term-8'!H2:I2</f>
        <v>78 days</v>
      </c>
      <c r="I9" s="149">
        <v>0</v>
      </c>
      <c r="J9" s="150">
        <f>'Term-8'!$F$31</f>
        <v>850000</v>
      </c>
      <c r="K9" s="150">
        <f>'Term-8'!$F$40</f>
        <v>587290.30000000005</v>
      </c>
      <c r="L9" s="151" t="str">
        <f>'Term-8'!$F$41</f>
        <v>69.09%</v>
      </c>
    </row>
    <row r="10" spans="1:22" x14ac:dyDescent="0.3">
      <c r="A10" s="86">
        <v>9</v>
      </c>
      <c r="B10" s="123" t="str">
        <f>'Term-9'!$B$1</f>
        <v>July2025 - Sept2025</v>
      </c>
      <c r="C10" s="8" t="s">
        <v>170</v>
      </c>
      <c r="D10" s="93">
        <f t="shared" si="1"/>
        <v>1125929.5</v>
      </c>
      <c r="E10" s="87">
        <f>'Term-9'!$M$2</f>
        <v>2535929.5</v>
      </c>
      <c r="F10" s="87">
        <f>'Term-9'!$E$2</f>
        <v>1410000</v>
      </c>
      <c r="G10" s="136">
        <f>MIN('Term-9'!H5:H13)</f>
        <v>78</v>
      </c>
      <c r="H10" s="135" t="str" cm="1">
        <f t="array" ref="H10:I10">'Term-9'!H2:I2</f>
        <v>62 days</v>
      </c>
      <c r="I10">
        <v>0</v>
      </c>
      <c r="J10" s="140">
        <f>'Term-9'!$F$31</f>
        <v>1050000</v>
      </c>
      <c r="K10" s="140">
        <f>'Term-9'!$F$40</f>
        <v>766370</v>
      </c>
      <c r="L10" s="141" t="str">
        <f>'Term-9'!$F$41</f>
        <v>72.99%</v>
      </c>
    </row>
    <row r="11" spans="1:22" x14ac:dyDescent="0.3">
      <c r="A11" s="142">
        <v>10</v>
      </c>
      <c r="B11" s="143" t="str">
        <f>'Term-10'!$B$1</f>
        <v>Sept2025 - Dec2025</v>
      </c>
      <c r="C11" s="144" t="s">
        <v>201</v>
      </c>
      <c r="D11" s="145">
        <f t="shared" ref="D11" si="2">IF(F11="","",E11-F11)</f>
        <v>979350</v>
      </c>
      <c r="E11" s="146">
        <f>'Term-10'!$M$2</f>
        <v>2530350</v>
      </c>
      <c r="F11" s="146">
        <f>'Term-10'!$E$2</f>
        <v>1551000</v>
      </c>
      <c r="G11" s="147">
        <f>MIN('Term-10'!H5:H13)</f>
        <v>58</v>
      </c>
      <c r="H11" s="148" t="str" cm="1">
        <f t="array" ref="H11:I11">'Term-10'!H2:I2</f>
        <v>78 days</v>
      </c>
      <c r="I11" s="149">
        <v>0</v>
      </c>
      <c r="J11" s="150">
        <f>'Term-10'!$F$31</f>
        <v>900000</v>
      </c>
      <c r="K11" s="150">
        <f>'Term-10'!$F$40</f>
        <v>593783</v>
      </c>
      <c r="L11" s="151" t="str">
        <f>'Term-10'!$F$41</f>
        <v>65.98%</v>
      </c>
    </row>
    <row r="12" spans="1:22" x14ac:dyDescent="0.3">
      <c r="A12" s="86">
        <v>11</v>
      </c>
      <c r="B12" s="123" t="str">
        <f>'Term-11'!$B$1</f>
        <v>Dec2025 - Jan2026</v>
      </c>
      <c r="C12" s="8" t="s">
        <v>226</v>
      </c>
      <c r="D12" s="93">
        <f t="shared" ref="D12" si="3">IF(F12="","",E12-F12)</f>
        <v>-469722.5</v>
      </c>
      <c r="E12" s="87">
        <f>'Term-11'!$M$2</f>
        <v>115277.5</v>
      </c>
      <c r="F12" s="87">
        <f>'Term-11'!$E$2</f>
        <v>585000</v>
      </c>
      <c r="G12" s="136">
        <f>MIN('Term-11'!H5:H13)</f>
        <v>518</v>
      </c>
      <c r="H12" s="135" t="str" cm="1">
        <f t="array" ref="H12:I12">'Term-11'!H2:I2</f>
        <v>34 days</v>
      </c>
      <c r="I12">
        <v>0</v>
      </c>
      <c r="J12" s="140">
        <f>'Term-11'!$F$31</f>
        <v>990000</v>
      </c>
      <c r="K12" s="140">
        <f>'Term-11'!$F$40</f>
        <v>918673</v>
      </c>
      <c r="L12" s="141" t="str">
        <f>'Term-11'!$F$41</f>
        <v>92.8%</v>
      </c>
      <c r="O12" s="161"/>
    </row>
    <row r="13" spans="1:22" x14ac:dyDescent="0.3">
      <c r="A13" s="142">
        <v>12</v>
      </c>
      <c r="B13" s="143" t="str">
        <f>'Term-12'!$B$1</f>
        <v>Feb2026 - Apr2026</v>
      </c>
      <c r="C13" s="144" t="s">
        <v>252</v>
      </c>
      <c r="D13" s="145">
        <f t="shared" ref="D13" si="4">IF(F13="","",E13-F13)</f>
        <v>610376</v>
      </c>
      <c r="E13" s="146">
        <f>'Term-12'!$M$2</f>
        <v>2189276</v>
      </c>
      <c r="F13" s="146">
        <f>'Term-12'!$E$2</f>
        <v>1578900</v>
      </c>
      <c r="G13" s="147">
        <f>MIN('Term-12'!H6:H14)</f>
        <v>121</v>
      </c>
      <c r="H13" s="148" t="str" cm="1">
        <f t="array" ref="H13:I13">'Term-12'!H2:I2</f>
        <v>71 days</v>
      </c>
      <c r="I13" s="149">
        <v>0</v>
      </c>
      <c r="J13" s="150">
        <f>'Term-12'!$F$31</f>
        <v>800000</v>
      </c>
      <c r="K13" s="150">
        <f>'Term-12'!$F$40</f>
        <v>1052129.2</v>
      </c>
      <c r="L13" s="151" t="str">
        <f>'Term-12'!$F$41</f>
        <v>131.52%</v>
      </c>
    </row>
    <row r="14" spans="1:22" x14ac:dyDescent="0.3">
      <c r="A14" s="86">
        <v>13</v>
      </c>
      <c r="B14" s="123" t="str">
        <f>'Term-13'!$B$1</f>
        <v>May2026 - July2026</v>
      </c>
      <c r="C14" s="8" t="s">
        <v>281</v>
      </c>
      <c r="D14" s="93">
        <f t="shared" ref="D14" si="5">IF(F14="","",E14-F14)</f>
        <v>76509.399999999907</v>
      </c>
      <c r="E14" s="87">
        <f>'Term-13'!$M$2</f>
        <v>1516086.4</v>
      </c>
      <c r="F14" s="87">
        <f>'Term-13'!$E$2</f>
        <v>1439577</v>
      </c>
      <c r="G14" s="136">
        <f>MIN('Term-13'!H6:H14)</f>
        <v>95</v>
      </c>
      <c r="H14" s="135" t="str" cm="1">
        <f t="array" ref="H14:I14">'Term-13'!H2:I2</f>
        <v>69 days</v>
      </c>
      <c r="I14">
        <v>0</v>
      </c>
      <c r="J14" s="140">
        <f>'Term-13'!$F$31</f>
        <v>800000</v>
      </c>
      <c r="K14" s="140">
        <f>'Term-13'!$F$40</f>
        <v>653560.6</v>
      </c>
      <c r="L14" s="141" t="str">
        <f>'Term-13'!$F$41</f>
        <v>81.7%</v>
      </c>
    </row>
    <row r="15" spans="1:22" x14ac:dyDescent="0.3">
      <c r="A15" s="142">
        <v>14</v>
      </c>
      <c r="B15" s="143" t="str">
        <f>'Term-14'!$B$1</f>
        <v>Aug2026 - Sept2026</v>
      </c>
      <c r="C15" s="144" t="s">
        <v>291</v>
      </c>
      <c r="D15" s="145">
        <f t="shared" ref="D15" si="6">IF(F15="","",E15-F15)</f>
        <v>22177</v>
      </c>
      <c r="E15" s="146">
        <f>'Term-14'!$M$2</f>
        <v>803662</v>
      </c>
      <c r="F15" s="146">
        <f>'Term-14'!$E$2</f>
        <v>781485</v>
      </c>
      <c r="G15" s="147">
        <f>MIN('Term-14'!H6:H14)</f>
        <v>116</v>
      </c>
      <c r="H15" s="148" t="str" cm="1">
        <f t="array" ref="H15:I15">'Term-14'!H2:I2</f>
        <v>57 days</v>
      </c>
      <c r="I15" s="149">
        <v>0</v>
      </c>
      <c r="J15" s="150">
        <f>'Term-14'!$F$31</f>
        <v>550000</v>
      </c>
      <c r="K15" s="150">
        <f>'Term-14'!$F$40</f>
        <v>349982</v>
      </c>
      <c r="L15" s="151" t="str">
        <f>'Term-14'!$F$41</f>
        <v>63.63%</v>
      </c>
    </row>
    <row r="16" spans="1:22" x14ac:dyDescent="0.3">
      <c r="A16" s="86">
        <v>15</v>
      </c>
      <c r="B16" s="143" t="str">
        <f>'Term-15'!$B$1</f>
        <v>Oct2026 - Dec2026</v>
      </c>
      <c r="C16" s="144" t="s">
        <v>319</v>
      </c>
      <c r="D16" s="145">
        <f t="shared" ref="D16" si="7">IF(F16="","",E16-F16)</f>
        <v>-300000</v>
      </c>
      <c r="E16" s="146">
        <f>'Term-15'!$M$2</f>
        <v>0</v>
      </c>
      <c r="F16" s="146">
        <f>'Term-15'!$E$2</f>
        <v>300000</v>
      </c>
      <c r="G16" s="147">
        <f>MIN('Term-15'!H6:H14)</f>
        <v>0</v>
      </c>
      <c r="H16" s="148" cm="1">
        <f t="array" ref="H16:I16">'Term-15'!H3:I3</f>
        <v>0</v>
      </c>
      <c r="I16" s="149">
        <v>0</v>
      </c>
      <c r="J16" s="150">
        <f>'Term-15'!$F$31</f>
        <v>0</v>
      </c>
      <c r="K16" s="150">
        <f>'Term-15'!$F$40</f>
        <v>0</v>
      </c>
      <c r="L16" s="151" t="e">
        <f>'Term-15'!$F$41</f>
        <v>#DIV/0!</v>
      </c>
    </row>
    <row r="17" spans="1:12" x14ac:dyDescent="0.3">
      <c r="A17" s="86">
        <v>16</v>
      </c>
      <c r="B17" s="123"/>
      <c r="C17" s="8"/>
      <c r="D17" s="93"/>
      <c r="E17" s="87"/>
      <c r="F17" s="87"/>
      <c r="G17" s="136"/>
      <c r="H17" s="135"/>
      <c r="J17" s="140"/>
      <c r="K17" s="104"/>
      <c r="L17" s="141"/>
    </row>
    <row r="18" spans="1:12" x14ac:dyDescent="0.3">
      <c r="A18" s="86">
        <v>17</v>
      </c>
      <c r="B18" s="123"/>
      <c r="C18" s="8"/>
      <c r="D18" s="93"/>
      <c r="E18" s="87"/>
      <c r="F18" s="104"/>
      <c r="G18" s="136"/>
      <c r="H18" s="86"/>
      <c r="J18" s="140"/>
      <c r="K18" s="104"/>
      <c r="L18" s="141"/>
    </row>
    <row r="19" spans="1:12" x14ac:dyDescent="0.3">
      <c r="A19" s="86">
        <v>18</v>
      </c>
      <c r="B19" s="123"/>
      <c r="C19" s="8"/>
      <c r="D19" s="93"/>
      <c r="E19" s="87"/>
      <c r="F19" s="87"/>
      <c r="G19" s="136"/>
      <c r="H19" s="135"/>
      <c r="J19" s="140"/>
      <c r="K19" s="104"/>
      <c r="L19" s="141"/>
    </row>
    <row r="20" spans="1:12" x14ac:dyDescent="0.3">
      <c r="A20" s="86">
        <v>19</v>
      </c>
      <c r="B20" s="123"/>
      <c r="C20" s="8"/>
      <c r="D20" s="93"/>
      <c r="E20" s="87"/>
      <c r="F20" s="87"/>
      <c r="G20" s="136"/>
      <c r="H20" s="135"/>
      <c r="J20" s="140"/>
      <c r="K20" s="104"/>
      <c r="L20" s="141"/>
    </row>
    <row r="21" spans="1:12" x14ac:dyDescent="0.3">
      <c r="A21" s="86">
        <v>20</v>
      </c>
      <c r="B21" s="123"/>
      <c r="C21" s="8"/>
      <c r="D21" s="93"/>
      <c r="E21" s="87"/>
      <c r="F21" s="87"/>
      <c r="G21" s="136"/>
      <c r="H21" s="135"/>
      <c r="J21" s="140"/>
      <c r="K21" s="104"/>
      <c r="L21" s="141"/>
    </row>
    <row r="22" spans="1:12" x14ac:dyDescent="0.3">
      <c r="A22" s="86">
        <v>21</v>
      </c>
      <c r="B22" s="123"/>
      <c r="C22" s="8"/>
      <c r="D22" s="93"/>
      <c r="E22" s="87"/>
      <c r="F22" s="87"/>
      <c r="G22" s="136"/>
      <c r="H22" s="135"/>
      <c r="J22" s="140"/>
      <c r="K22" s="104"/>
      <c r="L22" s="141"/>
    </row>
    <row r="23" spans="1:12" x14ac:dyDescent="0.3">
      <c r="A23" s="86">
        <v>22</v>
      </c>
      <c r="B23" s="123"/>
      <c r="C23" s="8"/>
      <c r="D23" s="93"/>
      <c r="E23" s="87"/>
      <c r="F23" s="87"/>
      <c r="G23" s="136"/>
      <c r="H23" s="135"/>
      <c r="J23" s="140"/>
      <c r="K23" s="104"/>
      <c r="L23" s="141"/>
    </row>
    <row r="24" spans="1:12" x14ac:dyDescent="0.3">
      <c r="A24" s="86">
        <v>23</v>
      </c>
      <c r="B24" s="123"/>
      <c r="C24" s="8"/>
      <c r="D24" s="93"/>
      <c r="E24" s="87"/>
      <c r="F24" s="87"/>
      <c r="G24" s="136"/>
      <c r="H24" s="135"/>
      <c r="J24" s="140"/>
      <c r="K24" s="104"/>
      <c r="L24" s="141"/>
    </row>
    <row r="25" spans="1:12" x14ac:dyDescent="0.3">
      <c r="A25" s="202" t="s">
        <v>103</v>
      </c>
      <c r="B25" s="203"/>
      <c r="C25" s="204"/>
      <c r="D25" s="9">
        <f>SUM(D2:D24)</f>
        <v>3992429.4000000004</v>
      </c>
      <c r="E25" s="87">
        <f>SUM(E2:E24)</f>
        <v>21921968.399999999</v>
      </c>
      <c r="F25" s="87">
        <f>SUM(F2:F24)</f>
        <v>17929539</v>
      </c>
      <c r="G25" s="136"/>
      <c r="H25" s="87"/>
      <c r="J25" s="104"/>
      <c r="K25" s="104"/>
      <c r="L25" s="104"/>
    </row>
    <row r="27" spans="1:12" x14ac:dyDescent="0.3">
      <c r="B27" s="133" t="s">
        <v>235</v>
      </c>
    </row>
    <row r="28" spans="1:12" x14ac:dyDescent="0.3">
      <c r="A28" s="88" t="s">
        <v>0</v>
      </c>
      <c r="B28" s="89" t="s">
        <v>236</v>
      </c>
      <c r="C28" s="92" t="s">
        <v>237</v>
      </c>
      <c r="D28" s="91" t="s">
        <v>15</v>
      </c>
    </row>
    <row r="29" spans="1:12" x14ac:dyDescent="0.3">
      <c r="A29" s="86">
        <v>1</v>
      </c>
      <c r="B29" s="123">
        <v>2023</v>
      </c>
      <c r="C29" s="104">
        <f>COUNTIF(C2:C4, "*")</f>
        <v>3</v>
      </c>
      <c r="D29" s="87">
        <f>SUM(D2:D4)</f>
        <v>-1478634</v>
      </c>
    </row>
    <row r="30" spans="1:12" x14ac:dyDescent="0.3">
      <c r="A30" s="86">
        <v>2</v>
      </c>
      <c r="B30" s="123">
        <v>2024</v>
      </c>
      <c r="C30" s="104">
        <f>COUNTIF(C5:C7, "*")</f>
        <v>3</v>
      </c>
      <c r="D30" s="87">
        <f>SUM(D5:D7)</f>
        <v>2491969</v>
      </c>
    </row>
    <row r="31" spans="1:12" x14ac:dyDescent="0.3">
      <c r="A31" s="86">
        <v>3</v>
      </c>
      <c r="B31" s="123">
        <v>2025</v>
      </c>
      <c r="C31" s="104">
        <f>COUNTIF(C8:C12, "*")</f>
        <v>5</v>
      </c>
      <c r="D31" s="87">
        <f>SUM(D8:D11)</f>
        <v>3039754.5</v>
      </c>
    </row>
    <row r="32" spans="1:12" x14ac:dyDescent="0.3">
      <c r="A32" s="86">
        <v>4</v>
      </c>
      <c r="B32" s="123">
        <v>2026</v>
      </c>
      <c r="C32" s="104">
        <f>COUNTIF(C13:C16, "*")</f>
        <v>4</v>
      </c>
      <c r="D32" s="87">
        <f>SUM(D12:D15)</f>
        <v>239339.89999999991</v>
      </c>
    </row>
    <row r="33" spans="1:4" x14ac:dyDescent="0.3">
      <c r="A33" s="86">
        <v>5</v>
      </c>
      <c r="B33" s="123">
        <v>2027</v>
      </c>
      <c r="C33" s="104"/>
      <c r="D33" s="104"/>
    </row>
    <row r="34" spans="1:4" x14ac:dyDescent="0.3">
      <c r="A34" s="86">
        <v>6</v>
      </c>
      <c r="B34" s="123">
        <v>2028</v>
      </c>
      <c r="C34" s="104"/>
      <c r="D34" s="104"/>
    </row>
    <row r="35" spans="1:4" x14ac:dyDescent="0.3">
      <c r="A35" s="134"/>
      <c r="B35" s="8" t="s">
        <v>61</v>
      </c>
      <c r="C35" s="8">
        <f>SUM(C29:C34)</f>
        <v>15</v>
      </c>
      <c r="D35" s="9">
        <f>SUM(D29:D34)</f>
        <v>4292429.4000000004</v>
      </c>
    </row>
  </sheetData>
  <autoFilter ref="B1:L1" xr:uid="{5E6D7927-4220-4E4C-ACDC-68E20558EC44}"/>
  <mergeCells count="1">
    <mergeCell ref="A25:C25"/>
  </mergeCells>
  <phoneticPr fontId="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1A15-D537-4C11-9349-148721BDD652}">
  <dimension ref="A1:N1"/>
  <sheetViews>
    <sheetView zoomScale="104" zoomScaleNormal="110" workbookViewId="0">
      <pane ySplit="1" topLeftCell="A2" activePane="bottomLeft" state="frozen"/>
      <selection pane="bottomLeft" activeCell="F46" sqref="F46"/>
    </sheetView>
  </sheetViews>
  <sheetFormatPr defaultRowHeight="14.4" x14ac:dyDescent="0.3"/>
  <cols>
    <col min="1" max="1" width="10.33203125" customWidth="1"/>
    <col min="4" max="4" width="14.88671875" bestFit="1" customWidth="1"/>
    <col min="9" max="9" width="6" customWidth="1"/>
    <col min="10" max="10" width="5.5546875" customWidth="1"/>
    <col min="12" max="12" width="15" bestFit="1" customWidth="1"/>
    <col min="13" max="13" width="9.6640625" customWidth="1"/>
    <col min="14" max="14" width="0.44140625" customWidth="1"/>
  </cols>
  <sheetData>
    <row r="1" spans="1:14" x14ac:dyDescent="0.3">
      <c r="A1" s="205" t="s">
        <v>118</v>
      </c>
      <c r="B1" s="205"/>
      <c r="C1" s="205"/>
      <c r="D1" s="205"/>
      <c r="E1" s="206"/>
      <c r="F1" s="207" t="str">
        <f ca="1">DATEDIF(L1,TODAY(),"y")&amp;" year, "&amp;DATEDIF(L1,TODAY(),"ym")&amp;" months, "&amp;TODAY()-DATE(YEAR(TODAY()),MONTH(TODAY()),1)&amp;" days"</f>
        <v>3 year, 6 months, 19 days</v>
      </c>
      <c r="G1" s="208"/>
      <c r="H1" s="208"/>
      <c r="I1" s="208"/>
      <c r="J1" s="209"/>
      <c r="K1" s="8" t="s">
        <v>117</v>
      </c>
      <c r="L1" s="100">
        <v>45023</v>
      </c>
      <c r="M1" s="8"/>
      <c r="N1" s="8"/>
    </row>
  </sheetData>
  <mergeCells count="2">
    <mergeCell ref="A1:E1"/>
    <mergeCell ref="F1:J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FBE2-11C6-4994-AF06-5D9D4133A216}">
  <dimension ref="A1:N20"/>
  <sheetViews>
    <sheetView workbookViewId="0">
      <selection activeCell="E13" sqref="E13"/>
    </sheetView>
  </sheetViews>
  <sheetFormatPr defaultRowHeight="14.4" x14ac:dyDescent="0.3"/>
  <cols>
    <col min="1" max="1" width="2" style="85" bestFit="1" customWidth="1"/>
    <col min="2" max="2" width="35.21875" bestFit="1" customWidth="1"/>
    <col min="3" max="3" width="36.33203125" bestFit="1" customWidth="1"/>
    <col min="4" max="4" width="34.5546875" bestFit="1" customWidth="1"/>
    <col min="5" max="5" width="29.88671875" bestFit="1" customWidth="1"/>
  </cols>
  <sheetData>
    <row r="1" spans="1:14" x14ac:dyDescent="0.3">
      <c r="A1" s="102" t="s">
        <v>0</v>
      </c>
      <c r="B1" s="103" t="s">
        <v>123</v>
      </c>
      <c r="C1" s="103" t="s">
        <v>124</v>
      </c>
      <c r="D1" s="103" t="s">
        <v>125</v>
      </c>
    </row>
    <row r="2" spans="1:14" x14ac:dyDescent="0.3">
      <c r="A2" s="86">
        <v>1</v>
      </c>
      <c r="B2" s="104" t="s">
        <v>121</v>
      </c>
      <c r="C2" s="104" t="s">
        <v>120</v>
      </c>
      <c r="D2" s="104" t="s">
        <v>122</v>
      </c>
    </row>
    <row r="3" spans="1:14" x14ac:dyDescent="0.3">
      <c r="A3" s="86"/>
      <c r="B3" s="104" t="s">
        <v>210</v>
      </c>
      <c r="C3" s="104" t="s">
        <v>211</v>
      </c>
      <c r="D3" s="104" t="s">
        <v>215</v>
      </c>
      <c r="E3" s="129" t="s">
        <v>214</v>
      </c>
      <c r="G3" s="113"/>
      <c r="H3" s="113"/>
      <c r="I3" s="113"/>
      <c r="J3" s="113"/>
    </row>
    <row r="4" spans="1:14" x14ac:dyDescent="0.3">
      <c r="A4" s="86"/>
      <c r="B4" s="104" t="s">
        <v>212</v>
      </c>
      <c r="C4" s="104"/>
      <c r="D4" s="104" t="s">
        <v>213</v>
      </c>
      <c r="G4" s="113"/>
      <c r="H4" s="113"/>
      <c r="I4" s="113"/>
      <c r="J4" s="113"/>
    </row>
    <row r="5" spans="1:14" x14ac:dyDescent="0.3">
      <c r="A5" s="86"/>
      <c r="B5" s="104" t="s">
        <v>216</v>
      </c>
      <c r="C5" s="104"/>
      <c r="D5" s="104" t="s">
        <v>217</v>
      </c>
      <c r="G5" s="113"/>
      <c r="H5" s="113"/>
      <c r="I5" s="113"/>
      <c r="J5" s="113"/>
    </row>
    <row r="6" spans="1:14" x14ac:dyDescent="0.3">
      <c r="A6" s="86"/>
      <c r="B6" s="104" t="s">
        <v>293</v>
      </c>
      <c r="C6" s="104" t="s">
        <v>292</v>
      </c>
      <c r="D6" s="104"/>
      <c r="G6" s="113"/>
      <c r="H6" s="113"/>
      <c r="I6" s="113"/>
      <c r="J6" s="113"/>
      <c r="L6" s="113"/>
    </row>
    <row r="7" spans="1:14" x14ac:dyDescent="0.3">
      <c r="A7" s="86"/>
      <c r="B7" s="104"/>
      <c r="C7" s="104"/>
      <c r="D7" s="104"/>
      <c r="G7" s="113"/>
      <c r="H7" s="113"/>
      <c r="I7" s="113"/>
      <c r="J7" s="113"/>
      <c r="L7" s="113"/>
    </row>
    <row r="8" spans="1:14" x14ac:dyDescent="0.3">
      <c r="A8" s="86"/>
      <c r="B8" s="104"/>
      <c r="C8" s="104"/>
      <c r="D8" s="104"/>
      <c r="G8" s="113"/>
      <c r="H8" s="113"/>
      <c r="I8" s="113"/>
      <c r="J8" s="113"/>
    </row>
    <row r="9" spans="1:14" x14ac:dyDescent="0.3">
      <c r="A9" s="86"/>
      <c r="B9" s="104"/>
      <c r="C9" s="104"/>
      <c r="D9" s="104"/>
      <c r="G9" s="114"/>
      <c r="H9" s="114"/>
      <c r="I9" s="114"/>
      <c r="J9" s="114"/>
      <c r="K9" s="114"/>
      <c r="L9" s="114"/>
    </row>
    <row r="10" spans="1:14" x14ac:dyDescent="0.3">
      <c r="A10" s="86"/>
      <c r="B10" s="104"/>
      <c r="C10" s="104"/>
      <c r="D10" s="104"/>
      <c r="H10" s="113"/>
    </row>
    <row r="11" spans="1:14" x14ac:dyDescent="0.3">
      <c r="A11" s="86"/>
      <c r="B11" s="104"/>
      <c r="C11" s="104"/>
      <c r="D11" s="104"/>
      <c r="H11" s="113"/>
    </row>
    <row r="12" spans="1:14" x14ac:dyDescent="0.3">
      <c r="A12" s="86"/>
      <c r="B12" s="104"/>
      <c r="C12" s="104"/>
      <c r="D12" s="104"/>
    </row>
    <row r="13" spans="1:14" x14ac:dyDescent="0.3">
      <c r="A13" s="86"/>
      <c r="B13" s="104"/>
      <c r="C13" s="104"/>
      <c r="D13" s="104"/>
    </row>
    <row r="14" spans="1:14" x14ac:dyDescent="0.3">
      <c r="A14" s="86"/>
      <c r="B14" s="104"/>
      <c r="C14" s="104"/>
      <c r="D14" s="104"/>
    </row>
    <row r="15" spans="1:14" x14ac:dyDescent="0.3">
      <c r="A15" s="86"/>
      <c r="B15" s="104"/>
      <c r="C15" s="104"/>
      <c r="D15" s="104"/>
      <c r="N15" s="112"/>
    </row>
    <row r="16" spans="1:14" x14ac:dyDescent="0.3">
      <c r="A16" s="86"/>
      <c r="B16" s="104"/>
      <c r="C16" s="104"/>
      <c r="D16" s="104"/>
      <c r="F16" s="114"/>
    </row>
    <row r="17" spans="1:6" x14ac:dyDescent="0.3">
      <c r="A17" s="86"/>
      <c r="B17" s="104"/>
      <c r="C17" s="104"/>
      <c r="D17" s="104"/>
      <c r="F17" s="113"/>
    </row>
    <row r="18" spans="1:6" x14ac:dyDescent="0.3">
      <c r="A18" s="86"/>
      <c r="B18" s="104"/>
      <c r="C18" s="104"/>
      <c r="D18" s="104"/>
    </row>
    <row r="19" spans="1:6" x14ac:dyDescent="0.3">
      <c r="A19" s="86"/>
      <c r="B19" s="104"/>
      <c r="C19" s="104"/>
      <c r="D19" s="104"/>
      <c r="F19" s="114"/>
    </row>
    <row r="20" spans="1:6" x14ac:dyDescent="0.3">
      <c r="A20" s="86"/>
      <c r="B20" s="104"/>
      <c r="C20" s="104"/>
      <c r="D20" s="104"/>
    </row>
  </sheetData>
  <pageMargins left="0.7" right="0.7" top="0.75" bottom="0.75" header="0.3" footer="0.3"/>
  <pageSetup orientation="portrait" horizontalDpi="300" verticalDpi="300" r:id="rId1"/>
  <drawing r:id="rId2"/>
</worksheet>
</file>

<file path=docMetadata/LabelInfo.xml><?xml version="1.0" encoding="utf-8"?>
<clbl:labelList xmlns:clbl="http://schemas.microsoft.com/office/2020/mipLabelMetadata">
  <clbl:label id="{1a04591e-2156-4e7e-b8dc-60ccb91b4f06}" enabled="1" method="Standard" siteId="{fb7e6711-b619-4fbe-afe6-f83b1267332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Term-1</vt:lpstr>
      <vt:lpstr>Term-2</vt:lpstr>
      <vt:lpstr>Term-3</vt:lpstr>
      <vt:lpstr>Term-4</vt:lpstr>
      <vt:lpstr>Term-5</vt:lpstr>
      <vt:lpstr>Term-6</vt:lpstr>
      <vt:lpstr>Term-7</vt:lpstr>
      <vt:lpstr>Term-8</vt:lpstr>
      <vt:lpstr>Term-9</vt:lpstr>
      <vt:lpstr>Term-10</vt:lpstr>
      <vt:lpstr>Term-11</vt:lpstr>
      <vt:lpstr>Term-12</vt:lpstr>
      <vt:lpstr>Term-13</vt:lpstr>
      <vt:lpstr>Term-14</vt:lpstr>
      <vt:lpstr>Term-15</vt:lpstr>
      <vt:lpstr>List</vt:lpstr>
      <vt:lpstr>Summary Graph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2026-10-20T07:30:13Z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04591e-2156-4e7e-b8dc-60ccb91b4f06_Enabled">
    <vt:lpwstr>true</vt:lpwstr>
  </property>
  <property fmtid="{D5CDD505-2E9C-101B-9397-08002B2CF9AE}" pid="3" name="MSIP_Label_1a04591e-2156-4e7e-b8dc-60ccb91b4f06_SetDate">
    <vt:lpwstr>2024-04-04T13:12:00Z</vt:lpwstr>
  </property>
  <property fmtid="{D5CDD505-2E9C-101B-9397-08002B2CF9AE}" pid="4" name="MSIP_Label_1a04591e-2156-4e7e-b8dc-60ccb91b4f06_Method">
    <vt:lpwstr>Standard</vt:lpwstr>
  </property>
  <property fmtid="{D5CDD505-2E9C-101B-9397-08002B2CF9AE}" pid="5" name="MSIP_Label_1a04591e-2156-4e7e-b8dc-60ccb91b4f06_Name">
    <vt:lpwstr>Internal-THD</vt:lpwstr>
  </property>
  <property fmtid="{D5CDD505-2E9C-101B-9397-08002B2CF9AE}" pid="6" name="MSIP_Label_1a04591e-2156-4e7e-b8dc-60ccb91b4f06_SiteId">
    <vt:lpwstr>fb7e6711-b619-4fbe-afe6-f83b12673323</vt:lpwstr>
  </property>
  <property fmtid="{D5CDD505-2E9C-101B-9397-08002B2CF9AE}" pid="7" name="MSIP_Label_1a04591e-2156-4e7e-b8dc-60ccb91b4f06_ActionId">
    <vt:lpwstr>3fa4bc73-b7dc-4b22-9252-8e284fbd147c</vt:lpwstr>
  </property>
  <property fmtid="{D5CDD505-2E9C-101B-9397-08002B2CF9AE}" pid="8" name="MSIP_Label_1a04591e-2156-4e7e-b8dc-60ccb91b4f06_ContentBits">
    <vt:lpwstr>2</vt:lpwstr>
  </property>
</Properties>
</file>