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filterPrivacy="1" codeName="ThisWorkbook" defaultThemeVersion="124226"/>
  <xr:revisionPtr revIDLastSave="0" documentId="13_ncr:1_{30DA9D46-6639-438B-AE48-75A382CF6F15}" xr6:coauthVersionLast="47" xr6:coauthVersionMax="47" xr10:uidLastSave="{00000000-0000-0000-0000-000000000000}"/>
  <bookViews>
    <workbookView xWindow="-108" yWindow="-108" windowWidth="23256" windowHeight="12456" tabRatio="706" firstSheet="1" activeTab="11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Summary" sheetId="12" r:id="rId13"/>
    <sheet name="Not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10" l="1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G16" i="19"/>
  <c r="G2" i="19"/>
  <c r="H5" i="18"/>
  <c r="G12" i="12"/>
  <c r="E31" i="19"/>
  <c r="H13" i="12" a="1"/>
  <c r="H13" i="12" s="1"/>
  <c r="G13" i="12"/>
  <c r="E13" i="12"/>
  <c r="B13" i="12"/>
  <c r="E44" i="19"/>
  <c r="G44" i="19" s="1"/>
  <c r="E43" i="19"/>
  <c r="G43" i="19" s="1"/>
  <c r="L40" i="19"/>
  <c r="G40" i="19"/>
  <c r="I39" i="19"/>
  <c r="E39" i="19"/>
  <c r="I38" i="19"/>
  <c r="E38" i="19"/>
  <c r="I37" i="19"/>
  <c r="E37" i="19"/>
  <c r="I36" i="19"/>
  <c r="E36" i="19"/>
  <c r="I35" i="19"/>
  <c r="E35" i="19"/>
  <c r="I34" i="19"/>
  <c r="E34" i="19"/>
  <c r="I33" i="19"/>
  <c r="I40" i="19" s="1"/>
  <c r="E33" i="19"/>
  <c r="E40" i="19" s="1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D2" i="19"/>
  <c r="F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32" i="12"/>
  <c r="C31" i="12"/>
  <c r="C30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M42" i="11"/>
  <c r="G47" i="13"/>
  <c r="K45" i="13" s="1"/>
  <c r="F36" i="11"/>
  <c r="I24" i="11"/>
  <c r="I25" i="11"/>
  <c r="I26" i="11"/>
  <c r="F37" i="7"/>
  <c r="F41" i="10"/>
  <c r="L41" i="19" l="1"/>
  <c r="G45" i="19"/>
  <c r="L41" i="18"/>
  <c r="E41" i="19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J40" i="15"/>
  <c r="M41" i="15" s="1"/>
  <c r="K1" i="15"/>
  <c r="F40" i="15"/>
  <c r="F41" i="15" s="1"/>
  <c r="G49" i="13"/>
  <c r="G48" i="13"/>
  <c r="D32" i="12" l="1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F5" i="12"/>
  <c r="E6" i="12"/>
  <c r="E5" i="12"/>
  <c r="E2" i="12"/>
  <c r="M41" i="10"/>
  <c r="H42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D7" i="12" s="1"/>
  <c r="F34" i="10"/>
  <c r="F35" i="10"/>
  <c r="F36" i="10"/>
  <c r="F37" i="10"/>
  <c r="F38" i="10"/>
  <c r="F39" i="10"/>
  <c r="F33" i="10"/>
  <c r="M37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A76" i="9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J34" i="7"/>
  <c r="J35" i="7"/>
  <c r="D6" i="12" l="1"/>
  <c r="D4" i="12"/>
  <c r="D5" i="12"/>
  <c r="D8" i="12"/>
  <c r="D31" i="12" s="1"/>
  <c r="D2" i="12"/>
  <c r="J40" i="13"/>
  <c r="M41" i="13" s="1"/>
  <c r="F40" i="13"/>
  <c r="F41" i="13" s="1"/>
  <c r="K1" i="13"/>
  <c r="J42" i="11"/>
  <c r="M43" i="11" s="1"/>
  <c r="F42" i="11"/>
  <c r="F43" i="11" s="1"/>
  <c r="K1" i="9"/>
  <c r="K1" i="11"/>
  <c r="F40" i="10"/>
  <c r="J40" i="10"/>
  <c r="K1" i="10"/>
  <c r="M38" i="7"/>
  <c r="H36" i="7"/>
  <c r="J30" i="7"/>
  <c r="J31" i="7"/>
  <c r="J32" i="7"/>
  <c r="J33" i="7"/>
  <c r="J29" i="7"/>
  <c r="F32" i="7"/>
  <c r="F33" i="7"/>
  <c r="F29" i="7"/>
  <c r="F31" i="7"/>
  <c r="F30" i="7"/>
  <c r="A2" i="7"/>
  <c r="I22" i="7"/>
  <c r="I21" i="7"/>
  <c r="M2" i="7"/>
  <c r="E2" i="7"/>
  <c r="F117" i="4"/>
  <c r="I22" i="4"/>
  <c r="I18" i="6"/>
  <c r="I19" i="6"/>
  <c r="I20" i="6"/>
  <c r="I21" i="6"/>
  <c r="I6" i="6"/>
  <c r="I7" i="6"/>
  <c r="I8" i="6"/>
  <c r="I9" i="6"/>
  <c r="I10" i="6"/>
  <c r="A76" i="6"/>
  <c r="M2" i="6"/>
  <c r="E3" i="12" s="1"/>
  <c r="E25" i="12" s="1"/>
  <c r="E2" i="6"/>
  <c r="F3" i="12" s="1"/>
  <c r="D3" i="12" s="1"/>
  <c r="A2" i="6"/>
  <c r="A77" i="4"/>
  <c r="A2" i="4" s="1"/>
  <c r="E2" i="4"/>
  <c r="M2" i="4"/>
  <c r="D29" i="12" l="1"/>
  <c r="D30" i="12"/>
  <c r="D25" i="12"/>
  <c r="K1" i="6"/>
  <c r="F25" i="12"/>
  <c r="M42" i="10"/>
  <c r="D35" i="10"/>
  <c r="J36" i="7"/>
  <c r="F36" i="7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<sst xmlns="http://schemas.openxmlformats.org/spreadsheetml/2006/main" count="906" uniqueCount="359">
  <si>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</si>
  <si>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</si>
  <si>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</si>
  <si>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</si>
  <si>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</si>
  <si>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</si>
  <si>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</si>
  <si>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</si>
  <si>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</si>
  <si>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</si>
  <si>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</si>
  <si>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</si>
  <si>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</si>
  <si>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</si>
  <si>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</si>
  <si>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</si>
  <si>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</si>
  <si>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</si>
  <si>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</si>
  <si>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</si>
  <si>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</si>
  <si>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</si>
  <si>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</si>
  <si>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</si>
  <si>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</si>
  <si>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</si>
  <si>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</si>
  <si>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</si>
  <si>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</si>
  <si>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</si>
  <si>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</si>
  <si>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</si>
  <si>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</si>
  <si>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</si>
  <si>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</si>
  <si>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</si>
  <si>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</si>
  <si>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</si>
  <si>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</si>
  <si>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</si>
  <si>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</si>
  <si>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</si>
  <si>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</si>
  <si>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</si>
  <si>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</si>
  <si>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</si>
  <si>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</si>
  <si>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</si>
  <si>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</si>
  <si>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</si>
  <si>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</si>
  <si>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</si>
  <si>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</si>
  <si>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</si>
  <si>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</si>
  <si>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</si>
  <si>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</si>
  <si>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</si>
  <si>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</si>
  <si>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</si>
  <si>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</si>
  <si>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</si>
  <si>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</si>
  <si>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</si>
  <si>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</si>
  <si>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</si>
  <si>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</si>
  <si>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</si>
  <si>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</si>
  <si>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</si>
  <si>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</si>
  <si>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</si>
  <si>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</si>
  <si>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</si>
  <si>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</si>
  <si>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</si>
  <si>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</si>
  <si>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</si>
  <si>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</si>
  <si>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</si>
  <si>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</si>
  <si>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</si>
  <si>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</si>
  <si>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</si>
  <si>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</si>
  <si>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</si>
  <si>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</si>
  <si>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</si>
  <si>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</si>
  <si>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</si>
  <si>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</si>
  <si>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</si>
  <si>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</si>
  <si>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</si>
  <si>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</si>
  <si>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</si>
  <si>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</si>
  <si>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</si>
  <si>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</si>
  <si>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</si>
  <si>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</si>
  <si>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</si>
  <si>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</si>
  <si>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</si>
  <si>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</si>
  <si>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</si>
  <si>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</si>
  <si>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</si>
  <si>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</si>
  <si>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</si>
  <si>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</si>
  <si>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</si>
  <si>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</si>
  <si>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</si>
  <si>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</si>
  <si>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</si>
  <si>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</si>
  <si>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</si>
  <si>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</si>
  <si>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</si>
  <si>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</si>
  <si>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</si>
  <si>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</si>
  <si>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</si>
  <si>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</si>
  <si>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</si>
  <si>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</si>
  <si>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</si>
  <si>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</si>
  <si>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</si>
  <si>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</si>
  <si>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</si>
  <si>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</si>
  <si>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</si>
  <si>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</si>
  <si>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</si>
  <si>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</si>
  <si>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</si>
  <si>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</si>
  <si>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</si>
  <si>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</si>
  <si>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</si>
  <si>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</si>
  <si>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</si>
  <si>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</si>
  <si>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</si>
  <si>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</si>
  <si>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</si>
  <si>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</si>
  <si>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</si>
  <si>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</si>
  <si>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</si>
  <si>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</si>
  <si>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</si>
  <si>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</si>
  <si>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</si>
  <si>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</si>
  <si>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</si>
  <si>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</si>
  <si>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</si>
  <si>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</si>
  <si>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</si>
  <si>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</si>
  <si>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</si>
  <si>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</si>
  <si>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</si>
  <si>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</si>
  <si>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</si>
  <si>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</si>
  <si>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</si>
  <si>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</si>
  <si>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</si>
  <si>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</si>
  <si>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</si>
  <si>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</si>
  <si>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</si>
  <si>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</si>
  <si>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</si>
  <si>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</si>
  <si>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</si>
  <si>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</si>
  <si>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</si>
  <si>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</si>
  <si>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</si>
  <si>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</si>
  <si>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</si>
  <si>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</si>
  <si>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</si>
  <si>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</si>
  <si>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</si>
  <si>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Manchili shop</t>
  </si>
  <si>
    <t>Ishan salary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</si>
  <si>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</si>
  <si>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</si>
  <si>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</si>
  <si>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</si>
  <si>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</si>
  <si>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</si>
  <si>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</si>
  <si>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</si>
  <si>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</si>
  <si>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</si>
  <si>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</si>
  <si>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</si>
  <si>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</si>
  <si>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</si>
  <si>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</si>
  <si>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</si>
  <si>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</si>
  <si>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</si>
  <si>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</si>
  <si>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</si>
  <si>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</si>
  <si>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</si>
  <si>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</si>
  <si>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</si>
  <si>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</si>
  <si>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</si>
  <si>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</si>
  <si>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</si>
  <si>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</si>
  <si>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</si>
  <si>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</si>
  <si>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</si>
  <si>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</si>
  <si>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</si>
  <si>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</si>
  <si>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</si>
  <si>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</si>
  <si>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</si>
  <si>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</si>
  <si>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</si>
  <si>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</si>
  <si>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</si>
  <si>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</si>
  <si>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</si>
  <si>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</si>
  <si>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</si>
  <si>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</si>
  <si>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</si>
  <si>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</si>
  <si>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</si>
  <si>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</si>
  <si>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</si>
  <si>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</si>
  <si>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</si>
  <si>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</si>
  <si>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</si>
  <si>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</si>
  <si>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</si>
  <si>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</si>
  <si>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</si>
  <si>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</si>
  <si>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</si>
  <si>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</si>
  <si>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</si>
  <si>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</si>
  <si>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</si>
  <si>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</si>
  <si>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</si>
  <si>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</si>
  <si>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</si>
  <si>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</si>
  <si>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</si>
  <si>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</si>
  <si>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</si>
  <si>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</si>
  <si>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</si>
  <si>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</si>
  <si>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</si>
  <si>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</si>
  <si>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</si>
  <si>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</si>
  <si>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</si>
  <si>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</si>
  <si>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</si>
  <si>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</si>
  <si>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</si>
  <si>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</si>
  <si>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</si>
  <si>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</si>
  <si>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</si>
  <si>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</si>
  <si>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</si>
  <si>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</si>
  <si>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</si>
  <si>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</si>
  <si>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</si>
  <si>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</si>
  <si>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</si>
  <si>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</si>
  <si>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</si>
  <si>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</si>
  <si>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</si>
  <si>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</si>
  <si>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</si>
  <si>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</si>
  <si>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</si>
  <si>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</si>
  <si>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</si>
  <si>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</si>
  <si>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</si>
  <si>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</si>
  <si>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</si>
  <si>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</si>
  <si>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</si>
  <si>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</si>
  <si>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</si>
  <si>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</si>
  <si>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</si>
  <si>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</si>
  <si>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</si>
  <si>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</si>
  <si>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</si>
  <si>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</si>
  <si>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</si>
  <si>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</si>
  <si>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</si>
  <si>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</si>
  <si>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</si>
  <si>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</si>
  <si>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</si>
  <si>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</si>
  <si>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</si>
  <si>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</si>
  <si>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</si>
  <si>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</si>
  <si>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</si>
  <si>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</si>
  <si>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</si>
  <si>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</si>
  <si>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</si>
  <si>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</si>
  <si>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</si>
  <si>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</si>
  <si>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</si>
  <si>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</si>
  <si>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</si>
  <si>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</si>
  <si>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</si>
  <si>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</si>
  <si>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</si>
  <si>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</si>
  <si>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</si>
  <si>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</si>
  <si>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</si>
  <si>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</si>
  <si>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</si>
  <si>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</si>
  <si>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</si>
  <si>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</si>
  <si>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</si>
  <si>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</si>
  <si>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</si>
  <si>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</si>
  <si>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Pending from Term-11</t>
  </si>
  <si>
    <t>Land Lease</t>
  </si>
  <si>
    <t>10 tons so far</t>
  </si>
  <si>
    <t>Big Tank-1st Middle - 131C-234R-1950T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</si>
</sst>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7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9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0" borderId="30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4" xfId="0" applyBorder="1" applyProtection="1">
      <protection locked="0"/>
    </xf>
    <xf numFmtId="14" fontId="2" fillId="0" borderId="34" xfId="0" applyNumberFormat="1" applyFont="1" applyBorder="1" applyAlignment="1" applyProtection="1">
      <alignment horizontal="center"/>
      <protection locked="0"/>
    </xf>
    <xf numFmtId="0" fontId="2" fillId="0" borderId="34" xfId="0" applyFont="1" applyBorder="1" applyProtection="1">
      <protection locked="0"/>
    </xf>
    <xf numFmtId="164" fontId="2" fillId="0" borderId="34" xfId="0" applyNumberFormat="1" applyFont="1" applyBorder="1" applyProtection="1">
      <protection locked="0"/>
    </xf>
    <xf numFmtId="0" fontId="2" fillId="0" borderId="35" xfId="0" applyFont="1" applyBorder="1" applyProtection="1">
      <protection locked="0"/>
    </xf>
    <xf numFmtId="0" fontId="0" fillId="0" borderId="36" xfId="0" applyBorder="1" applyProtection="1">
      <protection locked="0"/>
    </xf>
    <xf numFmtId="1" fontId="2" fillId="0" borderId="35" xfId="0" applyNumberFormat="1" applyFont="1" applyBorder="1" applyAlignment="1" applyProtection="1">
      <alignment horizontal="center"/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7" xfId="0" applyBorder="1" applyProtection="1">
      <protection locked="0"/>
    </xf>
    <xf numFmtId="0" fontId="0" fillId="0" borderId="37" xfId="0" applyBorder="1" applyAlignment="1" applyProtection="1">
      <alignment horizontal="center"/>
      <protection locked="0"/>
    </xf>
    <xf numFmtId="164" fontId="0" fillId="0" borderId="37" xfId="0" applyNumberFormat="1" applyBorder="1" applyProtection="1">
      <protection locked="0"/>
    </xf>
    <xf numFmtId="0" fontId="0" fillId="0" borderId="37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4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164" fontId="2" fillId="0" borderId="0" xfId="0" applyNumberFormat="1" applyFont="1" applyAlignment="1" applyProtection="1">
      <alignment horizontal="center"/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7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30" xfId="0" applyNumberFormat="1" applyFont="1" applyBorder="1" applyAlignment="1" applyProtection="1">
      <alignment horizontal="center"/>
      <protection locked="0"/>
    </xf>
    <xf numFmtId="164" fontId="2" fillId="0" borderId="38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4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30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9" xfId="0" applyBorder="1"/>
    <xf numFmtId="0" fontId="0" fillId="6" borderId="30" xfId="0" applyFill="1" applyBorder="1" applyProtection="1">
      <protection locked="0"/>
    </xf>
    <xf numFmtId="164" fontId="0" fillId="0" borderId="30" xfId="0" applyNumberFormat="1" applyBorder="1" applyProtection="1">
      <protection locked="0"/>
    </xf>
    <xf numFmtId="164" fontId="2" fillId="0" borderId="30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30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7" xfId="0" applyFont="1" applyFill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right"/>
      <protection locked="0"/>
    </xf>
    <xf numFmtId="0" fontId="2" fillId="0" borderId="32" xfId="0" applyFont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31" xfId="0" applyFont="1" applyBorder="1" applyAlignment="1" applyProtection="1">
      <alignment horizontal="center"/>
      <protection locked="0"/>
    </xf>
    <xf numFmtId="1" fontId="2" fillId="2" borderId="33" xfId="0" applyNumberFormat="1" applyFont="1" applyFill="1" applyBorder="1" applyAlignment="1" applyProtection="1">
      <alignment horizontal="center"/>
      <protection locked="0"/>
    </xf>
    <xf numFmtId="0" fontId="2" fillId="5" borderId="33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164" fontId="0" fillId="0" borderId="30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0" fillId="0" borderId="30" xfId="0" applyBorder="1" applyAlignment="1">
      <alignment horizontal="right"/>
    </xf>
    <xf numFmtId="0" fontId="0" fillId="0" borderId="27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30" xfId="0" applyFont="1" applyBorder="1" applyAlignment="1">
      <alignment horizontal="left"/>
    </xf>
    <xf numFmtId="0" fontId="2" fillId="0" borderId="27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7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6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-920795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2670422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-1390517.5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AL61" activePane="bottomRight" state="frozen"/>
      <selection pane="topRight" activeCell="M1" sqref="M1"/>
      <selection pane="bottomLeft" activeCell="A5" sqref="A5"/>
      <selection pane="bottomRight" activeCell="I17" sqref="I17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265</v>
      </c>
      <c r="C1" s="147"/>
      <c r="D1" s="147"/>
      <c r="E1" s="147"/>
      <c r="F1" s="148"/>
      <c r="G1" s="16" t="s">
        <v>87</v>
      </c>
      <c r="H1" s="149">
        <v>45076</v>
      </c>
      <c r="I1" s="150"/>
      <c r="J1" s="17" t="s">
        <v>36</v>
      </c>
      <c r="K1" s="151">
        <f>M2-E2</f>
        <v>-782674</v>
      </c>
      <c r="L1" s="152"/>
      <c r="M1" s="18"/>
      <c r="N1" s="19"/>
    </row>
    <row r="2" spans="1:14" ht="15.6" x14ac:dyDescent="0.3">
      <c r="A2" s="43">
        <f>SUM(A5:A105)</f>
        <v>473100</v>
      </c>
      <c r="B2" s="153"/>
      <c r="C2" s="154"/>
      <c r="D2" s="13" t="s">
        <v>32</v>
      </c>
      <c r="E2" s="12">
        <f>SUM(E5:E105)</f>
        <v>2050924</v>
      </c>
      <c r="F2" s="20"/>
      <c r="G2" s="32" t="s">
        <v>100</v>
      </c>
      <c r="H2" s="155" t="s">
        <v>327</v>
      </c>
      <c r="I2" s="156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5">
        <v>45126</v>
      </c>
      <c r="H5" s="46">
        <v>120</v>
      </c>
      <c r="I5" s="49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5">
        <v>45133</v>
      </c>
      <c r="H6" s="46">
        <v>108</v>
      </c>
      <c r="I6" s="49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5">
        <v>45140</v>
      </c>
      <c r="H7" s="46">
        <v>92</v>
      </c>
      <c r="I7" s="49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8">
        <v>45150</v>
      </c>
      <c r="H8" s="46">
        <v>80</v>
      </c>
      <c r="I8" s="49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8"/>
      <c r="H9" s="46"/>
      <c r="I9" s="49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6"/>
      <c r="I10" s="49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64" t="s">
        <v>123</v>
      </c>
      <c r="H12" s="165"/>
      <c r="I12" s="166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55" t="s">
        <v>328</v>
      </c>
      <c r="I14" s="156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61" t="s">
        <v>101</v>
      </c>
      <c r="H15" s="162"/>
      <c r="I15" s="16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5">
        <v>45163</v>
      </c>
      <c r="H17" s="46">
        <v>115</v>
      </c>
      <c r="I17" s="49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5">
        <v>45169</v>
      </c>
      <c r="H18" s="46">
        <v>105</v>
      </c>
      <c r="I18" s="49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5">
        <v>45171</v>
      </c>
      <c r="H19" s="46">
        <v>100</v>
      </c>
      <c r="I19" s="49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8">
        <v>45173</v>
      </c>
      <c r="H20" s="46">
        <v>87</v>
      </c>
      <c r="I20" s="49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8"/>
      <c r="H21" s="46"/>
      <c r="I21" s="49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6"/>
      <c r="H22" s="46"/>
      <c r="I22" s="49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8">
        <v>45150</v>
      </c>
      <c r="D81" s="3" t="s">
        <v>130</v>
      </c>
      <c r="E81" s="5">
        <v>600000</v>
      </c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8">
        <v>45150</v>
      </c>
      <c r="D82" s="3" t="s">
        <v>131</v>
      </c>
      <c r="E82" s="5">
        <v>140000</v>
      </c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8">
        <v>45150</v>
      </c>
      <c r="D83" s="3" t="s">
        <v>98</v>
      </c>
      <c r="E83" s="5">
        <v>30000</v>
      </c>
      <c r="F83" s="22" t="s">
        <v>134</v>
      </c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6"/>
      <c r="I104" s="49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7"/>
      <c r="I105" s="51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17" spans="6:7" x14ac:dyDescent="0.3">
      <c r="F117" s="1">
        <f>1285*250</f>
        <v>321250</v>
      </c>
    </row>
    <row r="128" spans="6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3" priority="8"/>
  </conditionalFormatting>
  <conditionalFormatting sqref="E5:E107">
    <cfRule type="duplicateValues" dxfId="62" priority="12"/>
  </conditionalFormatting>
  <conditionalFormatting sqref="K1:L1">
    <cfRule type="cellIs" dxfId="61" priority="6" operator="greaterThan">
      <formula>0</formula>
    </cfRule>
    <cfRule type="cellIs" dxfId="60" priority="7" operator="lessThan">
      <formula>0</formula>
    </cfRule>
  </conditionalFormatting>
  <conditionalFormatting sqref="L5:L51">
    <cfRule type="duplicateValues" dxfId="59" priority="4"/>
  </conditionalFormatting>
  <conditionalFormatting sqref="M5:M51">
    <cfRule type="duplicateValues" dxfId="58" priority="2"/>
  </conditionalFormatting>
  <conditionalFormatting sqref="S24:S26">
    <cfRule type="duplicateValues" dxfId="57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H14" sqref="H14:I14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266</v>
      </c>
      <c r="C1" s="147"/>
      <c r="D1" s="147"/>
      <c r="E1" s="147"/>
      <c r="F1" s="148"/>
      <c r="G1" s="16" t="s">
        <v>87</v>
      </c>
      <c r="H1" s="149">
        <v>45163</v>
      </c>
      <c r="I1" s="150"/>
      <c r="J1" s="17" t="s">
        <v>36</v>
      </c>
      <c r="K1" s="151">
        <f>M2-E2</f>
        <v>-218110</v>
      </c>
      <c r="L1" s="152"/>
      <c r="M1" s="18"/>
      <c r="N1" s="19"/>
    </row>
    <row r="2" spans="1:14" ht="15.6" x14ac:dyDescent="0.3">
      <c r="A2" s="43">
        <f>SUM(A5:A104)</f>
        <v>430300</v>
      </c>
      <c r="B2" s="153"/>
      <c r="C2" s="154"/>
      <c r="D2" s="13" t="s">
        <v>32</v>
      </c>
      <c r="E2" s="12">
        <f>SUM(E5:E104)</f>
        <v>518110</v>
      </c>
      <c r="F2" s="20"/>
      <c r="G2" s="32" t="s">
        <v>100</v>
      </c>
      <c r="H2" s="155" t="s">
        <v>353</v>
      </c>
      <c r="I2" s="156"/>
      <c r="J2" s="38"/>
      <c r="K2" s="10"/>
      <c r="L2" s="11" t="s">
        <v>32</v>
      </c>
      <c r="M2" s="12">
        <f>SUM(M5:M54)</f>
        <v>300000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4" t="s">
        <v>123</v>
      </c>
      <c r="H12" s="165"/>
      <c r="I12" s="166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49">
        <v>45163</v>
      </c>
      <c r="I13" s="1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5" t="s">
        <v>353</v>
      </c>
      <c r="I14" s="156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1" t="s">
        <v>101</v>
      </c>
      <c r="H15" s="162"/>
      <c r="I15" s="16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B3:F3"/>
    <mergeCell ref="G3:I3"/>
    <mergeCell ref="J3:N3"/>
    <mergeCell ref="B1:F1"/>
    <mergeCell ref="H1:I1"/>
    <mergeCell ref="K1:L1"/>
    <mergeCell ref="B2:C2"/>
    <mergeCell ref="H2:I2"/>
    <mergeCell ref="H4:I4"/>
    <mergeCell ref="G12:I12"/>
    <mergeCell ref="H14:I14"/>
    <mergeCell ref="G15:I15"/>
    <mergeCell ref="H16:I16"/>
    <mergeCell ref="H13:I13"/>
  </mergeCells>
  <conditionalFormatting sqref="D5:D106">
    <cfRule type="duplicateValues" dxfId="56" priority="6"/>
  </conditionalFormatting>
  <conditionalFormatting sqref="E5:E106">
    <cfRule type="duplicateValues" dxfId="55" priority="7"/>
  </conditionalFormatting>
  <conditionalFormatting sqref="K1:L1">
    <cfRule type="cellIs" dxfId="54" priority="4" operator="greaterThan">
      <formula>0</formula>
    </cfRule>
    <cfRule type="cellIs" dxfId="53" priority="5" operator="lessThan">
      <formula>0</formula>
    </cfRule>
  </conditionalFormatting>
  <conditionalFormatting sqref="L5:L51">
    <cfRule type="duplicateValues" dxfId="52" priority="3"/>
  </conditionalFormatting>
  <conditionalFormatting sqref="M5:M51">
    <cfRule type="duplicateValues" dxfId="51" priority="2"/>
  </conditionalFormatting>
  <conditionalFormatting sqref="S24:S26">
    <cfRule type="duplicateValues" dxfId="50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139"/>
  <sheetViews>
    <sheetView zoomScaleNormal="100" workbookViewId="0">
      <pane xSplit="13" ySplit="4" topLeftCell="N79" activePane="bottomRight" state="frozen"/>
      <selection pane="topRight" activeCell="M1" sqref="M1"/>
      <selection pane="bottomLeft" activeCell="A5" sqref="A5"/>
      <selection pane="bottomRight" activeCell="G15" sqref="G15:I15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267</v>
      </c>
      <c r="C1" s="147"/>
      <c r="D1" s="147"/>
      <c r="E1" s="147"/>
      <c r="F1" s="148"/>
      <c r="G1" s="16" t="s">
        <v>87</v>
      </c>
      <c r="H1" s="149">
        <v>45163</v>
      </c>
      <c r="I1" s="150"/>
      <c r="J1" s="17" t="s">
        <v>36</v>
      </c>
      <c r="K1" s="151">
        <f>M2-E2</f>
        <v>-470000</v>
      </c>
      <c r="L1" s="152"/>
      <c r="M1" s="18"/>
      <c r="N1" s="19"/>
    </row>
    <row r="2" spans="1:14" ht="15.6" x14ac:dyDescent="0.3">
      <c r="A2" s="43">
        <f>SUM(A5:A104)</f>
        <v>430300</v>
      </c>
      <c r="B2" s="153"/>
      <c r="C2" s="154"/>
      <c r="D2" s="13" t="s">
        <v>32</v>
      </c>
      <c r="E2" s="12">
        <f>SUM(E5:E104)</f>
        <v>590000</v>
      </c>
      <c r="F2" s="20"/>
      <c r="G2" s="32" t="s">
        <v>100</v>
      </c>
      <c r="H2" s="155" t="s">
        <v>354</v>
      </c>
      <c r="I2" s="156"/>
      <c r="J2" s="38"/>
      <c r="K2" s="10"/>
      <c r="L2" s="11" t="s">
        <v>32</v>
      </c>
      <c r="M2" s="12">
        <f>SUM(M5:M54)</f>
        <v>120000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45199</v>
      </c>
      <c r="H5" s="46">
        <v>325</v>
      </c>
      <c r="I5" s="49" t="str">
        <f>IF(ISBLANK(G5),"",CONCATENATE(G5-$H$1+1," days"))</f>
        <v>37 days</v>
      </c>
      <c r="J5" s="21">
        <v>1</v>
      </c>
      <c r="K5" s="4">
        <v>45189</v>
      </c>
      <c r="L5" s="15" t="s">
        <v>193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4" t="s">
        <v>123</v>
      </c>
      <c r="H12" s="165"/>
      <c r="I12" s="166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49">
        <v>45163</v>
      </c>
      <c r="I13" s="1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5" t="s">
        <v>354</v>
      </c>
      <c r="I14" s="156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1" t="s">
        <v>101</v>
      </c>
      <c r="H15" s="162"/>
      <c r="I15" s="16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45199</v>
      </c>
      <c r="H17" s="46">
        <v>325</v>
      </c>
      <c r="I17" s="49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106">
    <cfRule type="duplicateValues" dxfId="49" priority="6"/>
  </conditionalFormatting>
  <conditionalFormatting sqref="E5:E106">
    <cfRule type="duplicateValues" dxfId="48" priority="7"/>
  </conditionalFormatting>
  <conditionalFormatting sqref="K1:L1">
    <cfRule type="cellIs" dxfId="47" priority="4" operator="greaterThan">
      <formula>0</formula>
    </cfRule>
    <cfRule type="cellIs" dxfId="46" priority="5" operator="lessThan">
      <formula>0</formula>
    </cfRule>
  </conditionalFormatting>
  <conditionalFormatting sqref="L5:L51">
    <cfRule type="duplicateValues" dxfId="45" priority="3"/>
  </conditionalFormatting>
  <conditionalFormatting sqref="M5:M51">
    <cfRule type="duplicateValues" dxfId="44" priority="2"/>
  </conditionalFormatting>
  <conditionalFormatting sqref="S24:S26">
    <cfRule type="duplicateValues" dxfId="43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2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268</v>
      </c>
      <c r="C1" s="147"/>
      <c r="D1" s="147"/>
      <c r="E1" s="147"/>
      <c r="F1" s="148"/>
      <c r="G1" s="16" t="s">
        <v>87</v>
      </c>
      <c r="H1" s="149">
        <v>45345</v>
      </c>
      <c r="I1" s="150"/>
      <c r="J1" s="17" t="s">
        <v>36</v>
      </c>
      <c r="K1" s="151">
        <f>M2-E2</f>
        <v>1098545</v>
      </c>
      <c r="L1" s="152"/>
      <c r="M1" s="18"/>
      <c r="N1" s="19"/>
    </row>
    <row r="2" spans="1:14" ht="15.6" x14ac:dyDescent="0.3">
      <c r="A2" s="43">
        <f>SUM(A5:A26)</f>
        <v>0</v>
      </c>
      <c r="B2" s="153"/>
      <c r="C2" s="154"/>
      <c r="D2" s="13" t="s">
        <v>32</v>
      </c>
      <c r="E2" s="12">
        <f>SUM(E5:E26)</f>
        <v>1601499</v>
      </c>
      <c r="F2" s="20"/>
      <c r="G2" s="32" t="s">
        <v>100</v>
      </c>
      <c r="H2" s="155" t="s">
        <v>342</v>
      </c>
      <c r="I2" s="156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5">
        <v>45396</v>
      </c>
      <c r="H5" s="46">
        <v>124</v>
      </c>
      <c r="I5" s="49" t="str">
        <f>IF(ISBLANK(G5),"",CONCATENATE(G5-$H$1+1," days"))</f>
        <v>52 days</v>
      </c>
      <c r="J5" s="21">
        <v>1</v>
      </c>
      <c r="K5" s="4">
        <v>45399</v>
      </c>
      <c r="L5" s="3" t="s">
        <v>198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5">
        <v>45399</v>
      </c>
      <c r="H6" s="46">
        <v>107</v>
      </c>
      <c r="I6" s="49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199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244</v>
      </c>
      <c r="G7" s="45">
        <v>45404</v>
      </c>
      <c r="H7" s="46">
        <v>88</v>
      </c>
      <c r="I7" s="49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5">
        <v>45407</v>
      </c>
      <c r="H8" s="46">
        <v>80</v>
      </c>
      <c r="I8" s="49" t="str">
        <f t="shared" si="0"/>
        <v>63 days</v>
      </c>
      <c r="J8" s="21">
        <v>4</v>
      </c>
      <c r="K8" s="4">
        <v>45416</v>
      </c>
      <c r="L8" s="3" t="s">
        <v>200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8">
        <v>45408</v>
      </c>
      <c r="H9" s="46">
        <v>78</v>
      </c>
      <c r="I9" s="49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8">
        <v>45415</v>
      </c>
      <c r="H10" s="46">
        <v>62</v>
      </c>
      <c r="I10" s="49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8">
        <v>45416</v>
      </c>
      <c r="H11" s="46">
        <v>65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>
        <v>45419</v>
      </c>
      <c r="H12" s="46">
        <v>58</v>
      </c>
      <c r="I12" s="49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>
        <v>45421</v>
      </c>
      <c r="H13" s="46">
        <v>58</v>
      </c>
      <c r="I13" s="49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64" t="s">
        <v>176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49">
        <v>45345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5" t="s">
        <v>342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45404</v>
      </c>
      <c r="H19" s="46">
        <v>60</v>
      </c>
      <c r="I19" s="49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45408</v>
      </c>
      <c r="H20" s="46">
        <v>57</v>
      </c>
      <c r="I20" s="49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/>
      <c r="H21" s="46"/>
      <c r="I21" s="49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6"/>
      <c r="I22" s="49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97</v>
      </c>
      <c r="C23" s="4"/>
      <c r="D23" s="3"/>
      <c r="E23" s="5"/>
      <c r="F23" s="22"/>
      <c r="G23" s="35"/>
      <c r="H23" s="46"/>
      <c r="I23" s="49"/>
      <c r="J23" s="35"/>
      <c r="K23" s="15"/>
      <c r="L23" s="15"/>
      <c r="M23" s="15"/>
      <c r="N23" s="34"/>
    </row>
    <row r="24" spans="1:14" x14ac:dyDescent="0.3">
      <c r="A24" s="15"/>
      <c r="B24" s="41">
        <v>98</v>
      </c>
      <c r="C24" s="4"/>
      <c r="D24" s="3"/>
      <c r="E24" s="5"/>
      <c r="F24" s="22"/>
      <c r="G24" s="35"/>
      <c r="H24" s="46"/>
      <c r="I24" s="49"/>
      <c r="J24" s="35"/>
      <c r="K24" s="15"/>
      <c r="L24" s="15"/>
      <c r="M24" s="15"/>
      <c r="N24" s="34"/>
    </row>
    <row r="25" spans="1:14" x14ac:dyDescent="0.3">
      <c r="A25" s="15"/>
      <c r="B25" s="41">
        <v>99</v>
      </c>
      <c r="C25" s="4"/>
      <c r="D25" s="3"/>
      <c r="E25" s="5"/>
      <c r="F25" s="22"/>
      <c r="G25" s="35"/>
      <c r="H25" s="46"/>
      <c r="I25" s="49"/>
      <c r="J25" s="35"/>
      <c r="K25" s="15"/>
      <c r="L25" s="15"/>
      <c r="M25" s="15"/>
      <c r="N25" s="34"/>
    </row>
    <row r="26" spans="1:14" ht="15" thickBot="1" x14ac:dyDescent="0.35">
      <c r="A26" s="39"/>
      <c r="B26" s="42">
        <v>100</v>
      </c>
      <c r="C26" s="27"/>
      <c r="D26" s="28"/>
      <c r="E26" s="63"/>
      <c r="F26" s="64"/>
      <c r="G26" s="36"/>
      <c r="H26" s="47"/>
      <c r="I26" s="51"/>
      <c r="J26" s="36"/>
      <c r="K26" s="39"/>
      <c r="L26" s="39"/>
      <c r="M26" s="39"/>
      <c r="N26" s="37"/>
    </row>
    <row r="27" spans="1:14" x14ac:dyDescent="0.3">
      <c r="B27" s="24"/>
      <c r="C27" s="25"/>
      <c r="D27" s="26"/>
      <c r="E27" s="66" t="s">
        <v>149</v>
      </c>
      <c r="F27" s="65">
        <v>700000</v>
      </c>
      <c r="G27" s="61"/>
      <c r="H27" s="61"/>
      <c r="I27" s="61"/>
      <c r="J27" s="175"/>
      <c r="K27" s="175"/>
    </row>
    <row r="28" spans="1:14" x14ac:dyDescent="0.3">
      <c r="E28" s="61" t="s">
        <v>146</v>
      </c>
      <c r="F28" s="93" t="s">
        <v>136</v>
      </c>
      <c r="G28" s="93" t="s">
        <v>88</v>
      </c>
      <c r="H28" s="93" t="s">
        <v>181</v>
      </c>
      <c r="I28" s="93" t="s">
        <v>147</v>
      </c>
      <c r="J28" s="169" t="s">
        <v>148</v>
      </c>
      <c r="K28" s="169"/>
    </row>
    <row r="29" spans="1:14" x14ac:dyDescent="0.3">
      <c r="E29" s="15" t="s">
        <v>137</v>
      </c>
      <c r="F29" s="59">
        <f>40*125</f>
        <v>5000</v>
      </c>
      <c r="G29" s="59">
        <v>124</v>
      </c>
      <c r="H29" s="67">
        <v>40</v>
      </c>
      <c r="I29" s="62">
        <v>0</v>
      </c>
      <c r="J29" s="163">
        <f>H29*I29</f>
        <v>0</v>
      </c>
      <c r="K29" s="163"/>
      <c r="L29" s="6" t="s">
        <v>138</v>
      </c>
      <c r="M29" s="1">
        <v>432360</v>
      </c>
    </row>
    <row r="30" spans="1:14" x14ac:dyDescent="0.3">
      <c r="E30" s="15" t="s">
        <v>138</v>
      </c>
      <c r="F30" s="59">
        <f>2162*107</f>
        <v>231334</v>
      </c>
      <c r="G30" s="59">
        <v>107</v>
      </c>
      <c r="H30" s="67">
        <v>2161.8000000000002</v>
      </c>
      <c r="I30" s="62">
        <v>200</v>
      </c>
      <c r="J30" s="163">
        <f t="shared" ref="J30:J33" si="1">H30*I30</f>
        <v>432360.00000000006</v>
      </c>
      <c r="K30" s="163"/>
      <c r="L30" s="6" t="s">
        <v>143</v>
      </c>
      <c r="M30" s="1">
        <v>500000</v>
      </c>
    </row>
    <row r="31" spans="1:14" x14ac:dyDescent="0.3">
      <c r="E31" s="15" t="s">
        <v>139</v>
      </c>
      <c r="F31" s="59">
        <f>1974*80</f>
        <v>157920</v>
      </c>
      <c r="G31" s="59">
        <v>80</v>
      </c>
      <c r="H31" s="67">
        <v>1974</v>
      </c>
      <c r="I31" s="62">
        <v>230</v>
      </c>
      <c r="J31" s="163">
        <f t="shared" si="1"/>
        <v>454020</v>
      </c>
      <c r="K31" s="163"/>
      <c r="L31" s="6" t="s">
        <v>153</v>
      </c>
      <c r="M31" s="1">
        <v>200000</v>
      </c>
    </row>
    <row r="32" spans="1:14" x14ac:dyDescent="0.3">
      <c r="E32" s="15" t="s">
        <v>145</v>
      </c>
      <c r="F32" s="59">
        <f>2140*66</f>
        <v>141240</v>
      </c>
      <c r="G32" s="59">
        <v>70</v>
      </c>
      <c r="H32" s="67">
        <v>2164</v>
      </c>
      <c r="I32" s="62">
        <v>250</v>
      </c>
      <c r="J32" s="163">
        <f t="shared" si="1"/>
        <v>541000</v>
      </c>
      <c r="K32" s="163"/>
      <c r="L32" s="6" t="s">
        <v>154</v>
      </c>
      <c r="M32" s="1">
        <v>7000</v>
      </c>
    </row>
    <row r="33" spans="4:13" x14ac:dyDescent="0.3">
      <c r="E33" s="15" t="s">
        <v>140</v>
      </c>
      <c r="F33" s="59">
        <f>937*57</f>
        <v>53409</v>
      </c>
      <c r="G33" s="59">
        <v>60</v>
      </c>
      <c r="H33" s="67">
        <v>937.7</v>
      </c>
      <c r="I33" s="62">
        <v>270</v>
      </c>
      <c r="J33" s="163">
        <f t="shared" si="1"/>
        <v>253179</v>
      </c>
      <c r="K33" s="163"/>
      <c r="L33" s="6" t="s">
        <v>143</v>
      </c>
      <c r="M33" s="1">
        <v>500000</v>
      </c>
    </row>
    <row r="34" spans="4:13" x14ac:dyDescent="0.3">
      <c r="E34" s="15" t="s">
        <v>141</v>
      </c>
      <c r="F34" s="59">
        <v>215586</v>
      </c>
      <c r="G34" s="59">
        <v>58</v>
      </c>
      <c r="H34" s="67">
        <v>3687.6</v>
      </c>
      <c r="I34" s="62">
        <v>275</v>
      </c>
      <c r="J34" s="163">
        <f t="shared" ref="J34:J35" si="2">H34*I34</f>
        <v>1014090</v>
      </c>
      <c r="K34" s="163"/>
      <c r="L34" s="6" t="s">
        <v>155</v>
      </c>
      <c r="M34" s="1">
        <v>531845</v>
      </c>
    </row>
    <row r="35" spans="4:13" x14ac:dyDescent="0.3">
      <c r="E35" s="15" t="s">
        <v>152</v>
      </c>
      <c r="F35" s="59">
        <v>1334</v>
      </c>
      <c r="G35" s="59">
        <v>58</v>
      </c>
      <c r="H35" s="67">
        <v>53</v>
      </c>
      <c r="I35" s="62">
        <v>215</v>
      </c>
      <c r="J35" s="163">
        <f t="shared" si="2"/>
        <v>11395</v>
      </c>
      <c r="K35" s="163"/>
      <c r="L35" s="6" t="s">
        <v>155</v>
      </c>
      <c r="M35" s="1">
        <v>500000</v>
      </c>
    </row>
    <row r="36" spans="4:13" x14ac:dyDescent="0.3">
      <c r="E36" s="52" t="s">
        <v>144</v>
      </c>
      <c r="F36" s="60">
        <f>SUM(F29:F34)</f>
        <v>804489</v>
      </c>
      <c r="G36" s="60"/>
      <c r="H36" s="60">
        <f>SUM(H29:H35)</f>
        <v>11018.1</v>
      </c>
      <c r="I36" s="52"/>
      <c r="J36" s="170">
        <f>SUM(J29:J35)</f>
        <v>2706044</v>
      </c>
      <c r="K36" s="170"/>
      <c r="L36" s="6" t="s">
        <v>154</v>
      </c>
      <c r="M36" s="1">
        <v>34000</v>
      </c>
    </row>
    <row r="37" spans="4:13" x14ac:dyDescent="0.3">
      <c r="E37" s="52" t="s">
        <v>214</v>
      </c>
      <c r="F37" s="109" t="str">
        <f>CONCATENATE(ROUND((F36/F27)*100,2),"%")</f>
        <v>114.93%</v>
      </c>
      <c r="G37" s="15"/>
      <c r="H37" s="58"/>
      <c r="I37" s="15"/>
      <c r="J37" s="171"/>
      <c r="K37" s="171"/>
      <c r="L37" s="6"/>
      <c r="M37" s="26">
        <f>SUM(M29:M36)</f>
        <v>2705205</v>
      </c>
    </row>
    <row r="38" spans="4:13" x14ac:dyDescent="0.3">
      <c r="D38" s="40"/>
      <c r="L38" s="68" t="s">
        <v>156</v>
      </c>
      <c r="M38" s="40">
        <f>J36-M37</f>
        <v>839</v>
      </c>
    </row>
    <row r="39" spans="4:13" x14ac:dyDescent="0.3">
      <c r="K39" s="14"/>
    </row>
    <row r="40" spans="4:13" x14ac:dyDescent="0.3">
      <c r="D40" s="40"/>
    </row>
    <row r="41" spans="4:13" x14ac:dyDescent="0.3">
      <c r="K41" s="14"/>
    </row>
    <row r="43" spans="4:13" x14ac:dyDescent="0.3">
      <c r="K43" s="26"/>
    </row>
    <row r="44" spans="4:13" x14ac:dyDescent="0.3">
      <c r="H44" s="26"/>
    </row>
    <row r="45" spans="4:13" x14ac:dyDescent="0.3">
      <c r="K45" s="40"/>
    </row>
    <row r="50" spans="6:7" x14ac:dyDescent="0.3">
      <c r="G50" s="40"/>
    </row>
    <row r="51" spans="6:7" x14ac:dyDescent="0.3">
      <c r="G51" s="40"/>
    </row>
    <row r="52" spans="6:7" x14ac:dyDescent="0.3">
      <c r="G52" s="14"/>
    </row>
    <row r="62" spans="6:7" x14ac:dyDescent="0.3">
      <c r="F62" s="40"/>
    </row>
  </sheetData>
  <mergeCells count="23">
    <mergeCell ref="H15:I15"/>
    <mergeCell ref="J28:K28"/>
    <mergeCell ref="J29:K29"/>
    <mergeCell ref="B3:F3"/>
    <mergeCell ref="G3:I3"/>
    <mergeCell ref="J3:N3"/>
    <mergeCell ref="H4:I4"/>
    <mergeCell ref="G14:I14"/>
    <mergeCell ref="G17:I17"/>
    <mergeCell ref="B1:F1"/>
    <mergeCell ref="H1:I1"/>
    <mergeCell ref="K1:L1"/>
    <mergeCell ref="B2:C2"/>
    <mergeCell ref="H2:I2"/>
    <mergeCell ref="J36:K36"/>
    <mergeCell ref="J37:K37"/>
    <mergeCell ref="J27:K27"/>
    <mergeCell ref="J30:K30"/>
    <mergeCell ref="J31:K31"/>
    <mergeCell ref="J32:K32"/>
    <mergeCell ref="J33:K33"/>
    <mergeCell ref="J34:K34"/>
    <mergeCell ref="J35:K35"/>
  </mergeCells>
  <conditionalFormatting sqref="K1:L1">
    <cfRule type="cellIs" dxfId="42" priority="4" operator="greaterThan">
      <formula>0</formula>
    </cfRule>
    <cfRule type="cellIs" dxfId="41" priority="5" operator="lessThan">
      <formula>0</formula>
    </cfRule>
  </conditionalFormatting>
  <conditionalFormatting sqref="L5:L22">
    <cfRule type="duplicateValues" dxfId="40" priority="20"/>
  </conditionalFormatting>
  <conditionalFormatting sqref="M5:M22">
    <cfRule type="duplicateValues" dxfId="39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2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269</v>
      </c>
      <c r="C1" s="147"/>
      <c r="D1" s="147"/>
      <c r="E1" s="147"/>
      <c r="F1" s="148"/>
      <c r="G1" s="16" t="s">
        <v>87</v>
      </c>
      <c r="H1" s="149">
        <v>45477</v>
      </c>
      <c r="I1" s="150"/>
      <c r="J1" s="17" t="s">
        <v>36</v>
      </c>
      <c r="K1" s="151">
        <f>M2-E2</f>
        <v>391120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1221202</v>
      </c>
      <c r="F2" s="20"/>
      <c r="G2" s="32" t="s">
        <v>100</v>
      </c>
      <c r="H2" s="155" t="s">
        <v>343</v>
      </c>
      <c r="I2" s="156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5">
        <v>45527</v>
      </c>
      <c r="H5" s="46">
        <v>110</v>
      </c>
      <c r="I5" s="49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245</v>
      </c>
      <c r="G6" s="45">
        <v>45534</v>
      </c>
      <c r="H6" s="46">
        <v>111</v>
      </c>
      <c r="I6" s="49" t="str">
        <f>IF(ISBLANK(G6),"",CONCATENATE(G6-$H$1+1," days"))</f>
        <v>58 days</v>
      </c>
      <c r="J6" s="21">
        <v>2</v>
      </c>
      <c r="K6" s="4">
        <v>45543</v>
      </c>
      <c r="L6" s="3" t="s">
        <v>171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6"/>
      <c r="I7" s="49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5"/>
      <c r="H8" s="46"/>
      <c r="I8" s="49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8"/>
      <c r="H9" s="46"/>
      <c r="I9" s="49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8"/>
      <c r="H10" s="46"/>
      <c r="I10" s="49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170</v>
      </c>
      <c r="E11" s="5">
        <v>100000</v>
      </c>
      <c r="F11" s="22"/>
      <c r="G11" s="48"/>
      <c r="H11" s="46"/>
      <c r="I11" s="49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178</v>
      </c>
      <c r="E12" s="5">
        <v>19643</v>
      </c>
      <c r="F12" s="57"/>
      <c r="G12" s="48"/>
      <c r="H12" s="46"/>
      <c r="I12" s="49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180</v>
      </c>
      <c r="E13" s="5"/>
      <c r="F13" s="57"/>
      <c r="G13" s="48"/>
      <c r="H13" s="46"/>
      <c r="I13" s="49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2">
        <v>3400</v>
      </c>
      <c r="E14" s="5"/>
      <c r="F14" s="69"/>
      <c r="G14" s="164" t="s">
        <v>176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2">
        <v>20000</v>
      </c>
      <c r="E15" s="5"/>
      <c r="F15" s="22"/>
      <c r="G15" s="16" t="s">
        <v>87</v>
      </c>
      <c r="H15" s="149">
        <v>45477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2">
        <v>276000</v>
      </c>
      <c r="E16" s="5"/>
      <c r="F16" s="22"/>
      <c r="G16" s="32" t="s">
        <v>100</v>
      </c>
      <c r="H16" s="55" t="s">
        <v>344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2">
        <v>2300</v>
      </c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2">
        <v>3400</v>
      </c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2">
        <v>9100</v>
      </c>
      <c r="E19" s="5"/>
      <c r="F19" s="22"/>
      <c r="G19" s="45">
        <v>45527</v>
      </c>
      <c r="H19" s="46">
        <v>106</v>
      </c>
      <c r="I19" s="49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2">
        <v>1500</v>
      </c>
      <c r="E20" s="5"/>
      <c r="F20" s="22"/>
      <c r="G20" s="45">
        <v>45534</v>
      </c>
      <c r="H20" s="46">
        <v>96</v>
      </c>
      <c r="I20" s="49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2">
        <v>3200</v>
      </c>
      <c r="E21" s="5"/>
      <c r="F21" s="22"/>
      <c r="G21" s="45">
        <v>45541</v>
      </c>
      <c r="H21" s="46">
        <v>91</v>
      </c>
      <c r="I21" s="49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2">
        <v>12237</v>
      </c>
      <c r="E22" s="5"/>
      <c r="F22" s="22"/>
      <c r="G22" s="48">
        <v>45543</v>
      </c>
      <c r="H22" s="46">
        <v>92</v>
      </c>
      <c r="I22" s="49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2">
        <v>15500</v>
      </c>
      <c r="E23" s="5"/>
      <c r="F23" s="22"/>
      <c r="G23" s="35"/>
      <c r="H23" s="46"/>
      <c r="I23" s="49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2">
        <v>3000</v>
      </c>
      <c r="E24" s="5"/>
      <c r="F24" s="22"/>
      <c r="G24" s="35"/>
      <c r="H24" s="46"/>
      <c r="I24" s="49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2">
        <v>8000</v>
      </c>
      <c r="E25" s="5"/>
      <c r="F25" s="22"/>
      <c r="G25" s="35"/>
      <c r="H25" s="46"/>
      <c r="I25" s="49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2">
        <v>22300</v>
      </c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2">
        <v>15000</v>
      </c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7">
        <v>6140</v>
      </c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ht="15" thickBot="1" x14ac:dyDescent="0.35">
      <c r="A29" s="70"/>
      <c r="B29" s="41">
        <v>25</v>
      </c>
      <c r="C29" s="71"/>
      <c r="D29" s="98">
        <v>1500</v>
      </c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.6" thickTop="1" thickBot="1" x14ac:dyDescent="0.35">
      <c r="A30" s="39"/>
      <c r="B30" s="79"/>
      <c r="C30" s="27"/>
      <c r="D30" s="29">
        <f>SUM(D14:D29)</f>
        <v>402577</v>
      </c>
      <c r="E30" s="63"/>
      <c r="F30" s="64"/>
      <c r="G30" s="36"/>
      <c r="H30" s="47"/>
      <c r="I30" s="51"/>
      <c r="J30" s="36"/>
      <c r="K30" s="39"/>
      <c r="L30" s="39"/>
      <c r="M30" s="39"/>
      <c r="N30" s="37"/>
    </row>
    <row r="31" spans="1:14" x14ac:dyDescent="0.3">
      <c r="B31" s="24"/>
      <c r="C31" s="25" t="s">
        <v>143</v>
      </c>
      <c r="D31" s="6">
        <v>643500</v>
      </c>
      <c r="E31" s="66" t="s">
        <v>149</v>
      </c>
      <c r="F31" s="86">
        <v>750000</v>
      </c>
      <c r="G31" s="61"/>
      <c r="H31" s="61"/>
      <c r="I31" s="61"/>
      <c r="J31" s="175"/>
      <c r="K31" s="175"/>
    </row>
    <row r="32" spans="1:14" x14ac:dyDescent="0.3">
      <c r="C32" s="6" t="s">
        <v>190</v>
      </c>
      <c r="D32" s="6">
        <v>133202</v>
      </c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69" t="s">
        <v>148</v>
      </c>
      <c r="K32" s="169"/>
      <c r="L32" s="144" t="s">
        <v>246</v>
      </c>
      <c r="M32" s="144"/>
    </row>
    <row r="33" spans="1:13" x14ac:dyDescent="0.3">
      <c r="C33" s="6" t="s">
        <v>191</v>
      </c>
      <c r="D33" s="6">
        <v>30000</v>
      </c>
      <c r="E33" s="15" t="s">
        <v>161</v>
      </c>
      <c r="F33" s="59">
        <f>H33*G33</f>
        <v>591607.80000000005</v>
      </c>
      <c r="G33" s="59">
        <v>111</v>
      </c>
      <c r="H33" s="67">
        <v>5329.8</v>
      </c>
      <c r="I33" s="62">
        <v>249</v>
      </c>
      <c r="J33" s="163">
        <f>H33*I33</f>
        <v>1327120.2</v>
      </c>
      <c r="K33" s="163"/>
      <c r="L33" s="85" t="s">
        <v>172</v>
      </c>
      <c r="M33" s="62">
        <v>600000</v>
      </c>
    </row>
    <row r="34" spans="1:13" x14ac:dyDescent="0.3">
      <c r="D34" s="2">
        <v>1209279</v>
      </c>
      <c r="E34" s="15" t="s">
        <v>168</v>
      </c>
      <c r="F34" s="59">
        <f t="shared" ref="F34:F39" si="2">H34*G34</f>
        <v>6660</v>
      </c>
      <c r="G34" s="59">
        <v>111</v>
      </c>
      <c r="H34" s="67">
        <v>60</v>
      </c>
      <c r="I34" s="62">
        <v>124.5</v>
      </c>
      <c r="J34" s="163">
        <f t="shared" ref="J34:J39" si="3">H34*I34</f>
        <v>7470</v>
      </c>
      <c r="K34" s="163"/>
      <c r="L34" s="85" t="s">
        <v>173</v>
      </c>
      <c r="M34" s="62">
        <v>250000</v>
      </c>
    </row>
    <row r="35" spans="1:13" x14ac:dyDescent="0.3">
      <c r="C35" s="6" t="s">
        <v>156</v>
      </c>
      <c r="D35" s="99">
        <f>J40-D34</f>
        <v>403043.19999999995</v>
      </c>
      <c r="E35" s="15" t="s">
        <v>169</v>
      </c>
      <c r="F35" s="59">
        <f t="shared" si="2"/>
        <v>98274.400000000009</v>
      </c>
      <c r="G35" s="59">
        <v>92</v>
      </c>
      <c r="H35" s="67">
        <v>1068.2</v>
      </c>
      <c r="I35" s="62">
        <v>250</v>
      </c>
      <c r="J35" s="163">
        <f t="shared" si="3"/>
        <v>267050</v>
      </c>
      <c r="K35" s="163"/>
      <c r="L35" s="85" t="s">
        <v>173</v>
      </c>
      <c r="M35" s="62">
        <v>50000</v>
      </c>
    </row>
    <row r="36" spans="1:13" x14ac:dyDescent="0.3">
      <c r="E36" s="15"/>
      <c r="F36" s="59">
        <f t="shared" si="2"/>
        <v>0</v>
      </c>
      <c r="G36" s="59"/>
      <c r="H36" s="67">
        <v>1068.2</v>
      </c>
      <c r="I36" s="62">
        <v>10</v>
      </c>
      <c r="J36" s="170">
        <f t="shared" si="3"/>
        <v>10682</v>
      </c>
      <c r="K36" s="170"/>
      <c r="L36" s="85" t="s">
        <v>155</v>
      </c>
      <c r="M36" s="62">
        <v>568000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63">
        <f t="shared" si="3"/>
        <v>0</v>
      </c>
      <c r="K37" s="163"/>
      <c r="L37" s="85" t="s">
        <v>179</v>
      </c>
      <c r="M37" s="62">
        <v>133202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 t="s">
        <v>155</v>
      </c>
      <c r="M38" s="62">
        <v>10000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/>
      <c r="M39" s="62"/>
    </row>
    <row r="40" spans="1:13" x14ac:dyDescent="0.3">
      <c r="E40" s="52" t="s">
        <v>144</v>
      </c>
      <c r="F40" s="60">
        <f>SUM(F33:F38)</f>
        <v>696542.20000000007</v>
      </c>
      <c r="G40" s="60"/>
      <c r="H40" s="84">
        <f>SUM(H33:H39)</f>
        <v>7526.2</v>
      </c>
      <c r="I40" s="52"/>
      <c r="J40" s="170">
        <f>SUM(J33:J39)</f>
        <v>1612322.2</v>
      </c>
      <c r="K40" s="170"/>
      <c r="L40" s="85"/>
      <c r="M40" s="62"/>
    </row>
    <row r="41" spans="1:13" x14ac:dyDescent="0.3">
      <c r="E41" s="52" t="s">
        <v>214</v>
      </c>
      <c r="F41" s="109" t="str">
        <f>CONCATENATE(ROUND((F40/F31)*100,2),"%")</f>
        <v>92.87%</v>
      </c>
      <c r="G41" s="15"/>
      <c r="H41" s="58"/>
      <c r="I41" s="15"/>
      <c r="J41" s="171"/>
      <c r="K41" s="171"/>
      <c r="L41" s="52" t="s">
        <v>174</v>
      </c>
      <c r="M41" s="5">
        <f>SUM(M33:M40)</f>
        <v>1611202</v>
      </c>
    </row>
    <row r="42" spans="1:13" ht="15" thickBot="1" x14ac:dyDescent="0.35">
      <c r="A42" s="80"/>
      <c r="B42" s="81"/>
      <c r="C42" s="81"/>
      <c r="D42" s="82"/>
      <c r="E42" s="80"/>
      <c r="F42" s="80"/>
      <c r="G42" s="80"/>
      <c r="H42" s="80"/>
      <c r="I42" s="80"/>
      <c r="J42" s="80"/>
      <c r="K42" s="80"/>
      <c r="L42" s="83" t="s">
        <v>175</v>
      </c>
      <c r="M42" s="82">
        <f>J40-M41</f>
        <v>1120.1999999999534</v>
      </c>
    </row>
    <row r="43" spans="1:13" x14ac:dyDescent="0.3">
      <c r="A43" s="176" t="s">
        <v>163</v>
      </c>
      <c r="B43" s="176"/>
      <c r="C43" s="176"/>
      <c r="F43" s="176" t="s">
        <v>164</v>
      </c>
      <c r="G43" s="176"/>
      <c r="H43" s="176"/>
      <c r="K43" s="14"/>
    </row>
    <row r="44" spans="1:13" x14ac:dyDescent="0.3">
      <c r="D44" s="40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26">
    <mergeCell ref="J33:K33"/>
    <mergeCell ref="J32:K32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  <mergeCell ref="J31:K31"/>
    <mergeCell ref="L32:M32"/>
    <mergeCell ref="J34:K34"/>
    <mergeCell ref="J35:K35"/>
    <mergeCell ref="J36:K36"/>
    <mergeCell ref="J37:K37"/>
    <mergeCell ref="A43:C43"/>
    <mergeCell ref="F43:H43"/>
    <mergeCell ref="J39:K39"/>
    <mergeCell ref="J40:K40"/>
    <mergeCell ref="J41:K41"/>
    <mergeCell ref="J38:K38"/>
  </mergeCells>
  <conditionalFormatting sqref="K1:L1">
    <cfRule type="cellIs" dxfId="38" priority="1" operator="greaterThan">
      <formula>0</formula>
    </cfRule>
    <cfRule type="cellIs" dxfId="37" priority="2" operator="lessThan">
      <formula>0</formula>
    </cfRule>
  </conditionalFormatting>
  <conditionalFormatting sqref="L5:L22">
    <cfRule type="duplicateValues" dxfId="36" priority="3"/>
  </conditionalFormatting>
  <conditionalFormatting sqref="M5:M22">
    <cfRule type="duplicateValues" dxfId="35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topLeftCell="I1" zoomScaleNormal="100" workbookViewId="0">
      <pane ySplit="1" topLeftCell="A2" activePane="bottomLeft" state="frozen"/>
      <selection pane="bottomLeft" activeCell="G17" sqref="G17:I17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270</v>
      </c>
      <c r="C1" s="147"/>
      <c r="D1" s="147"/>
      <c r="E1" s="147"/>
      <c r="F1" s="148"/>
      <c r="G1" s="16" t="s">
        <v>87</v>
      </c>
      <c r="H1" s="149">
        <v>45548</v>
      </c>
      <c r="I1" s="150"/>
      <c r="J1" s="17" t="s">
        <v>36</v>
      </c>
      <c r="K1" s="151">
        <f>M2-E2</f>
        <v>1002304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1412799</v>
      </c>
      <c r="F2" s="20"/>
      <c r="G2" s="32" t="s">
        <v>100</v>
      </c>
      <c r="H2" s="155" t="s">
        <v>291</v>
      </c>
      <c r="I2" s="156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177</v>
      </c>
      <c r="G5" s="45">
        <v>45599</v>
      </c>
      <c r="H5" s="46">
        <v>96</v>
      </c>
      <c r="I5" s="49" t="str">
        <f>IF(ISBLANK(G5),"",CONCATENATE(G5-$H$1+1," days"))</f>
        <v>52 days</v>
      </c>
      <c r="J5" s="21">
        <v>1</v>
      </c>
      <c r="K5" s="4">
        <v>45609</v>
      </c>
      <c r="L5" s="3" t="s">
        <v>197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5">
        <v>45602</v>
      </c>
      <c r="H6" s="46">
        <v>91</v>
      </c>
      <c r="I6" s="49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207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192</v>
      </c>
      <c r="E7" s="9">
        <v>35000</v>
      </c>
      <c r="F7" s="23" t="s">
        <v>177</v>
      </c>
      <c r="G7" s="102">
        <v>45606</v>
      </c>
      <c r="H7" s="46">
        <v>84</v>
      </c>
      <c r="I7" s="49" t="str">
        <f t="shared" si="0"/>
        <v>59 days</v>
      </c>
      <c r="J7" s="21">
        <v>3</v>
      </c>
      <c r="K7" s="4">
        <v>45633</v>
      </c>
      <c r="L7" s="3" t="s">
        <v>216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194</v>
      </c>
      <c r="E8" s="9">
        <v>3500</v>
      </c>
      <c r="F8" s="22"/>
      <c r="G8" s="45">
        <v>45608</v>
      </c>
      <c r="H8" s="46">
        <v>81</v>
      </c>
      <c r="I8" s="49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8">
        <v>45609</v>
      </c>
      <c r="H9" s="46">
        <v>79</v>
      </c>
      <c r="I9" s="49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8">
        <v>45614</v>
      </c>
      <c r="H10" s="46">
        <v>65</v>
      </c>
      <c r="I10" s="49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195</v>
      </c>
      <c r="E11" s="5">
        <v>1200</v>
      </c>
      <c r="F11" s="22"/>
      <c r="G11" s="48">
        <v>45619</v>
      </c>
      <c r="H11" s="46">
        <v>70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230</v>
      </c>
      <c r="E12" s="5">
        <v>5600</v>
      </c>
      <c r="F12" s="57"/>
      <c r="G12" s="48">
        <v>45620</v>
      </c>
      <c r="H12" s="46">
        <v>65</v>
      </c>
      <c r="I12" s="49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202</v>
      </c>
      <c r="E13" s="5">
        <v>893146</v>
      </c>
      <c r="F13" s="57"/>
      <c r="G13" s="48"/>
      <c r="H13" s="46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229</v>
      </c>
      <c r="E14" s="5">
        <v>17400</v>
      </c>
      <c r="F14" s="69"/>
      <c r="G14" s="164" t="s">
        <v>140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49">
        <v>45561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227</v>
      </c>
      <c r="E16" s="5">
        <v>27000</v>
      </c>
      <c r="F16" s="22"/>
      <c r="G16" s="32" t="s">
        <v>100</v>
      </c>
      <c r="H16" s="155" t="s">
        <v>291</v>
      </c>
      <c r="I16" s="167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228</v>
      </c>
      <c r="E17" s="5">
        <v>45000</v>
      </c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226</v>
      </c>
      <c r="G19" s="45">
        <v>45602</v>
      </c>
      <c r="H19" s="46">
        <v>130</v>
      </c>
      <c r="I19" s="49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45608</v>
      </c>
      <c r="H20" s="46">
        <v>99</v>
      </c>
      <c r="I20" s="49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45614</v>
      </c>
      <c r="H21" s="46">
        <v>80</v>
      </c>
      <c r="I21" s="49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45619</v>
      </c>
      <c r="H22" s="46">
        <v>71</v>
      </c>
      <c r="I22" s="49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45624</v>
      </c>
      <c r="H23" s="46">
        <v>61</v>
      </c>
      <c r="I23" s="49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8">
        <v>45631</v>
      </c>
      <c r="H24" s="46">
        <v>60</v>
      </c>
      <c r="I24" s="49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8">
        <v>45633</v>
      </c>
      <c r="H25" s="46">
        <v>56</v>
      </c>
      <c r="I25" s="49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700000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69" t="s">
        <v>148</v>
      </c>
      <c r="K32" s="169"/>
      <c r="L32" s="144" t="s">
        <v>246</v>
      </c>
      <c r="M32" s="144"/>
    </row>
    <row r="33" spans="1:14" x14ac:dyDescent="0.3">
      <c r="E33" s="15" t="s">
        <v>138</v>
      </c>
      <c r="F33" s="59">
        <f>H33*G33</f>
        <v>163537.9</v>
      </c>
      <c r="G33" s="59">
        <v>79</v>
      </c>
      <c r="H33" s="67">
        <v>2070.1</v>
      </c>
      <c r="I33" s="62">
        <v>270</v>
      </c>
      <c r="J33" s="163">
        <f>H33*I33</f>
        <v>558927</v>
      </c>
      <c r="K33" s="163"/>
      <c r="L33" s="85" t="s">
        <v>215</v>
      </c>
      <c r="M33" s="62">
        <v>200000</v>
      </c>
    </row>
    <row r="34" spans="1:14" x14ac:dyDescent="0.3">
      <c r="E34" s="15" t="s">
        <v>201</v>
      </c>
      <c r="F34" s="59">
        <f t="shared" ref="F34:F39" si="2">H34*G34</f>
        <v>300293.5</v>
      </c>
      <c r="G34" s="59">
        <v>65</v>
      </c>
      <c r="H34" s="67">
        <v>4619.8999999999996</v>
      </c>
      <c r="I34" s="62">
        <v>320</v>
      </c>
      <c r="J34" s="163">
        <f t="shared" ref="J34:J39" si="3">H34*I34</f>
        <v>1478368</v>
      </c>
      <c r="K34" s="163"/>
      <c r="L34" s="6" t="s">
        <v>153</v>
      </c>
      <c r="M34" s="62">
        <v>200000</v>
      </c>
    </row>
    <row r="35" spans="1:14" x14ac:dyDescent="0.3">
      <c r="E35" s="15" t="s">
        <v>140</v>
      </c>
      <c r="F35" s="59">
        <f t="shared" si="2"/>
        <v>62227.200000000004</v>
      </c>
      <c r="G35" s="59">
        <v>56</v>
      </c>
      <c r="H35" s="67">
        <v>1111.2</v>
      </c>
      <c r="I35" s="62">
        <v>340</v>
      </c>
      <c r="J35" s="163">
        <f t="shared" si="3"/>
        <v>377808</v>
      </c>
      <c r="K35" s="163"/>
      <c r="L35" s="85" t="s">
        <v>155</v>
      </c>
      <c r="M35" s="62">
        <v>158927</v>
      </c>
    </row>
    <row r="36" spans="1:14" x14ac:dyDescent="0.3">
      <c r="E36" s="15"/>
      <c r="F36" s="59">
        <f t="shared" si="2"/>
        <v>0</v>
      </c>
      <c r="G36" s="59"/>
      <c r="H36" s="67"/>
      <c r="I36" s="62"/>
      <c r="J36" s="163">
        <f t="shared" si="3"/>
        <v>0</v>
      </c>
      <c r="K36" s="163"/>
      <c r="L36" s="85" t="s">
        <v>172</v>
      </c>
      <c r="M36" s="62">
        <v>900000</v>
      </c>
    </row>
    <row r="37" spans="1:14" x14ac:dyDescent="0.3">
      <c r="E37" s="15"/>
      <c r="F37" s="59">
        <f t="shared" si="2"/>
        <v>0</v>
      </c>
      <c r="G37" s="59"/>
      <c r="H37" s="67"/>
      <c r="I37" s="62"/>
      <c r="J37" s="163">
        <f t="shared" si="3"/>
        <v>0</v>
      </c>
      <c r="K37" s="163"/>
      <c r="L37" s="85" t="s">
        <v>64</v>
      </c>
      <c r="M37" s="62">
        <v>200000</v>
      </c>
    </row>
    <row r="38" spans="1:14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 t="s">
        <v>155</v>
      </c>
      <c r="M38" s="62">
        <v>300000</v>
      </c>
      <c r="N38" s="1" t="s">
        <v>226</v>
      </c>
    </row>
    <row r="39" spans="1:14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 t="s">
        <v>131</v>
      </c>
      <c r="M39" s="62">
        <v>82270</v>
      </c>
    </row>
    <row r="40" spans="1:14" x14ac:dyDescent="0.3">
      <c r="E40" s="15"/>
      <c r="F40" s="59"/>
      <c r="G40" s="59"/>
      <c r="H40" s="67"/>
      <c r="I40" s="62"/>
      <c r="J40" s="177"/>
      <c r="K40" s="178"/>
      <c r="L40" s="85" t="s">
        <v>155</v>
      </c>
      <c r="M40" s="62">
        <v>300000</v>
      </c>
    </row>
    <row r="41" spans="1:14" x14ac:dyDescent="0.3">
      <c r="E41" s="15"/>
      <c r="F41" s="59"/>
      <c r="G41" s="59"/>
      <c r="H41" s="67"/>
      <c r="I41" s="62"/>
      <c r="J41" s="177"/>
      <c r="K41" s="178"/>
      <c r="L41" s="85" t="s">
        <v>155</v>
      </c>
      <c r="M41" s="62">
        <v>83600</v>
      </c>
    </row>
    <row r="42" spans="1:14" x14ac:dyDescent="0.3">
      <c r="E42" s="52" t="s">
        <v>144</v>
      </c>
      <c r="F42" s="60">
        <f>SUM(F33:F38)</f>
        <v>526058.6</v>
      </c>
      <c r="G42" s="60"/>
      <c r="H42" s="84">
        <f>SUM(H33:H39)</f>
        <v>7801.2</v>
      </c>
      <c r="I42" s="52"/>
      <c r="J42" s="170">
        <f>SUM(J33:J39)</f>
        <v>2415103</v>
      </c>
      <c r="K42" s="170"/>
      <c r="L42" s="52" t="s">
        <v>174</v>
      </c>
      <c r="M42" s="5">
        <f>SUM(M33:M41)</f>
        <v>2424797</v>
      </c>
    </row>
    <row r="43" spans="1:14" ht="15" thickBot="1" x14ac:dyDescent="0.35">
      <c r="E43" s="52" t="s">
        <v>214</v>
      </c>
      <c r="F43" s="109" t="str">
        <f>CONCATENATE(ROUND((F42/F31)*100,2),"%")</f>
        <v>75.15%</v>
      </c>
      <c r="G43" s="15"/>
      <c r="H43" s="58"/>
      <c r="I43" s="15"/>
      <c r="J43" s="171"/>
      <c r="K43" s="171"/>
      <c r="L43" s="83" t="s">
        <v>175</v>
      </c>
      <c r="M43" s="114">
        <f>J42-M42</f>
        <v>-9694</v>
      </c>
    </row>
    <row r="44" spans="1:14" x14ac:dyDescent="0.3">
      <c r="D44" s="40"/>
      <c r="L44" s="68"/>
      <c r="M44" s="40"/>
    </row>
    <row r="45" spans="1:14" x14ac:dyDescent="0.3">
      <c r="A45" s="172" t="s">
        <v>196</v>
      </c>
      <c r="B45" s="172"/>
      <c r="C45" s="172"/>
      <c r="D45" s="62"/>
      <c r="E45" s="15"/>
      <c r="F45" s="15"/>
      <c r="G45" s="15" t="e">
        <f>F45/E45</f>
        <v>#DIV/0!</v>
      </c>
      <c r="H45" s="101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204</v>
      </c>
      <c r="I46" s="1" t="s">
        <v>231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8" t="s">
        <v>153</v>
      </c>
      <c r="M49" s="62">
        <v>200000</v>
      </c>
    </row>
    <row r="50" spans="7:13" x14ac:dyDescent="0.3">
      <c r="H50" s="26"/>
      <c r="L50" s="58" t="s">
        <v>232</v>
      </c>
      <c r="M50" s="62">
        <v>400000</v>
      </c>
    </row>
    <row r="51" spans="7:13" x14ac:dyDescent="0.3">
      <c r="K51" s="40"/>
      <c r="L51" s="58" t="s">
        <v>233</v>
      </c>
      <c r="M51" s="62">
        <v>300000</v>
      </c>
    </row>
    <row r="52" spans="7:13" x14ac:dyDescent="0.3">
      <c r="L52" s="58" t="s">
        <v>234</v>
      </c>
      <c r="M52" s="62">
        <v>40000</v>
      </c>
    </row>
    <row r="53" spans="7:13" x14ac:dyDescent="0.3">
      <c r="L53" s="58" t="s">
        <v>235</v>
      </c>
      <c r="M53" s="62">
        <v>38000</v>
      </c>
    </row>
    <row r="54" spans="7:13" x14ac:dyDescent="0.3">
      <c r="L54" s="58" t="s">
        <v>236</v>
      </c>
      <c r="M54" s="62">
        <v>15000</v>
      </c>
    </row>
    <row r="55" spans="7:13" x14ac:dyDescent="0.3">
      <c r="L55" s="58"/>
      <c r="M55" s="62"/>
    </row>
    <row r="56" spans="7:13" x14ac:dyDescent="0.3">
      <c r="G56" s="40"/>
      <c r="L56" s="58"/>
      <c r="M56" s="62"/>
    </row>
    <row r="57" spans="7:13" x14ac:dyDescent="0.3">
      <c r="G57" s="40"/>
      <c r="L57" s="115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27">
    <mergeCell ref="L32:M32"/>
    <mergeCell ref="J39:K39"/>
    <mergeCell ref="J42:K42"/>
    <mergeCell ref="J43:K43"/>
    <mergeCell ref="A45:C45"/>
    <mergeCell ref="J38:K38"/>
    <mergeCell ref="J32:K32"/>
    <mergeCell ref="J33:K33"/>
    <mergeCell ref="J34:K34"/>
    <mergeCell ref="J35:K35"/>
    <mergeCell ref="J36:K36"/>
    <mergeCell ref="J37:K37"/>
    <mergeCell ref="J40:K40"/>
    <mergeCell ref="J41:K41"/>
    <mergeCell ref="G14:I14"/>
    <mergeCell ref="H15:I15"/>
    <mergeCell ref="G17:I17"/>
    <mergeCell ref="J31:K31"/>
    <mergeCell ref="H16:I16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4" priority="1" operator="greaterThan">
      <formula>0</formula>
    </cfRule>
    <cfRule type="cellIs" dxfId="33" priority="2" operator="lessThan">
      <formula>0</formula>
    </cfRule>
  </conditionalFormatting>
  <conditionalFormatting sqref="L5:L22">
    <cfRule type="duplicateValues" dxfId="32" priority="3"/>
  </conditionalFormatting>
  <conditionalFormatting sqref="M5:M22">
    <cfRule type="duplicateValues" dxfId="31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271</v>
      </c>
      <c r="C1" s="147"/>
      <c r="D1" s="147"/>
      <c r="E1" s="147"/>
      <c r="F1" s="148"/>
      <c r="G1" s="16" t="s">
        <v>87</v>
      </c>
      <c r="H1" s="149">
        <v>45631</v>
      </c>
      <c r="I1" s="150"/>
      <c r="J1" s="17" t="s">
        <v>36</v>
      </c>
      <c r="K1" s="151">
        <f>M2-E2</f>
        <v>528979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1502849</v>
      </c>
      <c r="F2" s="20"/>
      <c r="G2" s="32" t="s">
        <v>100</v>
      </c>
      <c r="H2" s="155" t="s">
        <v>345</v>
      </c>
      <c r="I2" s="156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237</v>
      </c>
      <c r="E5" s="9">
        <v>265000</v>
      </c>
      <c r="F5" s="23" t="s">
        <v>238</v>
      </c>
      <c r="G5" s="45">
        <v>45692</v>
      </c>
      <c r="H5" s="46">
        <v>137</v>
      </c>
      <c r="I5" s="49" t="str">
        <f>IF(ISBLANK(G5),"",CONCATENATE(G5-$H$1+1," days"))</f>
        <v>62 days</v>
      </c>
      <c r="J5" s="21">
        <v>1</v>
      </c>
      <c r="K5" s="120">
        <v>45701</v>
      </c>
      <c r="L5" s="3" t="s">
        <v>242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5">
        <v>45701</v>
      </c>
      <c r="H6" s="46">
        <v>110</v>
      </c>
      <c r="I6" s="49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248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5">
        <v>45708</v>
      </c>
      <c r="H7" s="46">
        <v>100</v>
      </c>
      <c r="I7" s="49" t="str">
        <f t="shared" si="0"/>
        <v>78 days</v>
      </c>
      <c r="J7" s="21">
        <v>3</v>
      </c>
      <c r="K7" s="4">
        <v>45717</v>
      </c>
      <c r="L7" s="3" t="s">
        <v>249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192</v>
      </c>
      <c r="E8" s="9">
        <v>40000</v>
      </c>
      <c r="F8" s="22" t="s">
        <v>239</v>
      </c>
      <c r="G8" s="45">
        <v>45709</v>
      </c>
      <c r="H8" s="46">
        <v>97</v>
      </c>
      <c r="I8" s="49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240</v>
      </c>
      <c r="E9" s="5">
        <v>8000</v>
      </c>
      <c r="F9" s="22"/>
      <c r="G9" s="48"/>
      <c r="H9" s="46"/>
      <c r="I9" s="49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/>
      <c r="H12" s="113"/>
      <c r="I12" s="49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/>
      <c r="H13" s="113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64" t="s">
        <v>140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49">
        <v>45653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55" t="s">
        <v>346</v>
      </c>
      <c r="I16" s="167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45692</v>
      </c>
      <c r="H19" s="46">
        <v>240</v>
      </c>
      <c r="I19" s="49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45700</v>
      </c>
      <c r="H20" s="46">
        <v>186</v>
      </c>
      <c r="I20" s="49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45708</v>
      </c>
      <c r="H21" s="46">
        <v>142</v>
      </c>
      <c r="I21" s="49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45714</v>
      </c>
      <c r="H22" s="46">
        <v>146</v>
      </c>
      <c r="I22" s="49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45717</v>
      </c>
      <c r="H23" s="46">
        <v>140</v>
      </c>
      <c r="I23" s="49" t="str">
        <f t="shared" si="1"/>
        <v>65 days</v>
      </c>
      <c r="J23" s="21">
        <v>19</v>
      </c>
      <c r="K23" s="8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8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8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8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8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8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121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122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925000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69" t="s">
        <v>148</v>
      </c>
      <c r="K32" s="169"/>
      <c r="L32" s="144" t="s">
        <v>246</v>
      </c>
      <c r="M32" s="144"/>
    </row>
    <row r="33" spans="1:13" x14ac:dyDescent="0.3">
      <c r="E33" s="15" t="s">
        <v>138</v>
      </c>
      <c r="F33" s="59">
        <f>H33*G33</f>
        <v>236445</v>
      </c>
      <c r="G33" s="59">
        <v>110</v>
      </c>
      <c r="H33" s="67">
        <v>2149.5</v>
      </c>
      <c r="I33" s="62">
        <v>245</v>
      </c>
      <c r="J33" s="163">
        <f>H33*I33</f>
        <v>526627.5</v>
      </c>
      <c r="K33" s="163"/>
      <c r="L33" s="85" t="s">
        <v>215</v>
      </c>
      <c r="M33" s="62">
        <v>200000</v>
      </c>
    </row>
    <row r="34" spans="1:13" x14ac:dyDescent="0.3">
      <c r="E34" s="15" t="s">
        <v>201</v>
      </c>
      <c r="F34" s="59">
        <f t="shared" ref="F34:F39" si="2">H34*G34</f>
        <v>506340</v>
      </c>
      <c r="G34" s="59">
        <v>97</v>
      </c>
      <c r="H34" s="67">
        <v>5220</v>
      </c>
      <c r="I34" s="62">
        <v>260</v>
      </c>
      <c r="J34" s="163">
        <f t="shared" ref="J34:J39" si="3">H34*I34</f>
        <v>1357200</v>
      </c>
      <c r="K34" s="163"/>
      <c r="L34" s="85" t="s">
        <v>215</v>
      </c>
      <c r="M34" s="62">
        <v>50000</v>
      </c>
    </row>
    <row r="35" spans="1:13" x14ac:dyDescent="0.3">
      <c r="E35" s="15" t="s">
        <v>140</v>
      </c>
      <c r="F35" s="59">
        <f t="shared" si="2"/>
        <v>99900</v>
      </c>
      <c r="G35" s="59">
        <v>135</v>
      </c>
      <c r="H35" s="67">
        <v>740</v>
      </c>
      <c r="I35" s="62">
        <v>200</v>
      </c>
      <c r="J35" s="163">
        <f t="shared" si="3"/>
        <v>148000</v>
      </c>
      <c r="K35" s="163"/>
      <c r="L35" s="85" t="s">
        <v>215</v>
      </c>
      <c r="M35" s="62">
        <v>200000</v>
      </c>
    </row>
    <row r="36" spans="1:13" x14ac:dyDescent="0.3">
      <c r="E36" s="15"/>
      <c r="F36" s="59">
        <f t="shared" si="2"/>
        <v>0</v>
      </c>
      <c r="G36" s="59"/>
      <c r="H36" s="67"/>
      <c r="I36" s="62"/>
      <c r="J36" s="163">
        <f t="shared" si="3"/>
        <v>0</v>
      </c>
      <c r="K36" s="163"/>
      <c r="L36" s="85" t="s">
        <v>143</v>
      </c>
      <c r="M36" s="62">
        <v>1095000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63">
        <f t="shared" si="3"/>
        <v>0</v>
      </c>
      <c r="K37" s="163"/>
      <c r="L37" s="85" t="s">
        <v>64</v>
      </c>
      <c r="M37" s="62">
        <v>240000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 t="s">
        <v>155</v>
      </c>
      <c r="M38" s="62">
        <v>274600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/>
      <c r="M39" s="62"/>
    </row>
    <row r="40" spans="1:13" x14ac:dyDescent="0.3">
      <c r="E40" s="52" t="s">
        <v>144</v>
      </c>
      <c r="F40" s="60">
        <f>SUM(F33:F38)</f>
        <v>842685</v>
      </c>
      <c r="G40" s="60"/>
      <c r="H40" s="84">
        <f>SUM(H33:H39)</f>
        <v>8109.5</v>
      </c>
      <c r="I40" s="52"/>
      <c r="J40" s="170">
        <f>SUM(J33:J39)</f>
        <v>2031827.5</v>
      </c>
      <c r="K40" s="170"/>
      <c r="L40" s="52" t="s">
        <v>174</v>
      </c>
      <c r="M40" s="5">
        <f>SUM(M33:M39)</f>
        <v>2059600</v>
      </c>
    </row>
    <row r="41" spans="1:13" ht="15" thickBot="1" x14ac:dyDescent="0.35">
      <c r="E41" s="52" t="s">
        <v>214</v>
      </c>
      <c r="F41" s="109" t="str">
        <f>CONCATENATE(ROUND((F40/F31)*100,2),"%")</f>
        <v>91.1%</v>
      </c>
      <c r="G41" s="15"/>
      <c r="H41" s="58"/>
      <c r="I41" s="15"/>
      <c r="J41" s="171"/>
      <c r="K41" s="171"/>
      <c r="L41" s="83" t="s">
        <v>175</v>
      </c>
      <c r="M41" s="5">
        <f>J40-M40</f>
        <v>-27772.5</v>
      </c>
    </row>
    <row r="42" spans="1:13" x14ac:dyDescent="0.3">
      <c r="D42" s="40"/>
      <c r="L42" s="68"/>
      <c r="M42" s="40"/>
    </row>
    <row r="43" spans="1:13" x14ac:dyDescent="0.3">
      <c r="A43" s="172" t="s">
        <v>196</v>
      </c>
      <c r="B43" s="172"/>
      <c r="C43" s="172"/>
      <c r="D43" s="62"/>
      <c r="E43" s="15"/>
      <c r="F43" s="15"/>
      <c r="G43" s="5"/>
      <c r="H43" s="101"/>
      <c r="I43" s="15"/>
      <c r="J43" s="15"/>
      <c r="K43" s="123"/>
      <c r="L43" s="15"/>
      <c r="M43" s="15"/>
    </row>
    <row r="44" spans="1:13" x14ac:dyDescent="0.3">
      <c r="C44" s="6" t="s">
        <v>138</v>
      </c>
      <c r="D44" s="40"/>
      <c r="F44" s="61"/>
      <c r="G44" s="61" t="s">
        <v>66</v>
      </c>
      <c r="H44" s="61"/>
      <c r="I44" s="61" t="s">
        <v>64</v>
      </c>
      <c r="J44" s="61"/>
      <c r="K44" s="119" t="s">
        <v>225</v>
      </c>
    </row>
    <row r="45" spans="1:13" x14ac:dyDescent="0.3">
      <c r="B45"/>
      <c r="F45" s="93" t="s">
        <v>219</v>
      </c>
      <c r="G45" s="112">
        <v>34</v>
      </c>
      <c r="H45" s="93" t="s">
        <v>223</v>
      </c>
      <c r="I45" s="112">
        <v>2000</v>
      </c>
      <c r="J45" s="112" t="s">
        <v>224</v>
      </c>
      <c r="K45" s="124">
        <f>G47/11</f>
        <v>4867.636363636364</v>
      </c>
    </row>
    <row r="46" spans="1:13" x14ac:dyDescent="0.3">
      <c r="B46"/>
      <c r="F46" s="93" t="s">
        <v>217</v>
      </c>
      <c r="G46" s="112">
        <v>758</v>
      </c>
      <c r="H46" s="93" t="s">
        <v>218</v>
      </c>
      <c r="I46" s="61">
        <v>110000</v>
      </c>
      <c r="J46" s="61" t="s">
        <v>222</v>
      </c>
      <c r="K46" s="119">
        <v>1470</v>
      </c>
    </row>
    <row r="47" spans="1:13" x14ac:dyDescent="0.3">
      <c r="F47" s="3" t="s">
        <v>220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173</v>
      </c>
      <c r="G48" s="111">
        <f>K45*8</f>
        <v>38941.090909090912</v>
      </c>
      <c r="H48" s="15"/>
      <c r="I48" s="15">
        <v>800000</v>
      </c>
      <c r="J48" s="15"/>
      <c r="K48" s="85">
        <v>1065</v>
      </c>
    </row>
    <row r="49" spans="3:11" x14ac:dyDescent="0.3">
      <c r="F49" s="15" t="s">
        <v>221</v>
      </c>
      <c r="G49" s="111">
        <f>K45*3</f>
        <v>14602.909090909092</v>
      </c>
      <c r="H49" s="15"/>
      <c r="I49" s="15">
        <v>300000</v>
      </c>
      <c r="J49" s="15"/>
      <c r="K49" s="85">
        <v>405</v>
      </c>
    </row>
    <row r="50" spans="3:11" x14ac:dyDescent="0.3">
      <c r="G50" s="110"/>
    </row>
    <row r="51" spans="3:11" x14ac:dyDescent="0.3">
      <c r="C51" s="6" t="s">
        <v>241</v>
      </c>
    </row>
    <row r="52" spans="3:11" x14ac:dyDescent="0.3">
      <c r="G52" s="110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J38:K38"/>
    <mergeCell ref="J39:K39"/>
    <mergeCell ref="J40:K40"/>
    <mergeCell ref="J41:K41"/>
    <mergeCell ref="A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0" priority="2" operator="greaterThan">
      <formula>0</formula>
    </cfRule>
    <cfRule type="cellIs" dxfId="29" priority="3" operator="lessThan">
      <formula>0</formula>
    </cfRule>
  </conditionalFormatting>
  <conditionalFormatting sqref="L5">
    <cfRule type="duplicateValues" dxfId="28" priority="1"/>
  </conditionalFormatting>
  <conditionalFormatting sqref="L6:L22">
    <cfRule type="duplicateValues" dxfId="27" priority="4"/>
  </conditionalFormatting>
  <conditionalFormatting sqref="M5:M22">
    <cfRule type="duplicateValues" dxfId="26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272</v>
      </c>
      <c r="C1" s="147"/>
      <c r="D1" s="147"/>
      <c r="E1" s="147"/>
      <c r="F1" s="148"/>
      <c r="G1" s="16" t="s">
        <v>87</v>
      </c>
      <c r="H1" s="149">
        <v>45714</v>
      </c>
      <c r="I1" s="150"/>
      <c r="J1" s="17" t="s">
        <v>36</v>
      </c>
      <c r="K1" s="151">
        <f>M2-E2</f>
        <v>405496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1386194</v>
      </c>
      <c r="F2" s="20"/>
      <c r="G2" s="32" t="s">
        <v>100</v>
      </c>
      <c r="H2" s="155" t="s">
        <v>347</v>
      </c>
      <c r="I2" s="156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250</v>
      </c>
      <c r="E5" s="9">
        <v>257500</v>
      </c>
      <c r="F5" s="23" t="s">
        <v>247</v>
      </c>
      <c r="G5" s="45">
        <v>45765</v>
      </c>
      <c r="H5" s="46">
        <v>157</v>
      </c>
      <c r="I5" s="49" t="str">
        <f>IF(ISBLANK(G5),"",CONCATENATE(G5-$H$1+1," days"))</f>
        <v>52 days</v>
      </c>
      <c r="J5" s="21">
        <v>1</v>
      </c>
      <c r="K5" s="45">
        <v>45775</v>
      </c>
      <c r="L5" s="3" t="s">
        <v>253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251</v>
      </c>
      <c r="E6" s="9">
        <v>35000</v>
      </c>
      <c r="F6" s="23" t="s">
        <v>252</v>
      </c>
      <c r="G6" s="45">
        <v>45775</v>
      </c>
      <c r="H6" s="46">
        <v>110</v>
      </c>
      <c r="I6" s="49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255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254</v>
      </c>
      <c r="E7" s="9">
        <v>984721</v>
      </c>
      <c r="F7" s="23"/>
      <c r="G7" s="45">
        <v>45783</v>
      </c>
      <c r="H7" s="46">
        <v>86</v>
      </c>
      <c r="I7" s="49" t="str">
        <f t="shared" si="0"/>
        <v>70 days</v>
      </c>
      <c r="J7" s="21">
        <v>3</v>
      </c>
      <c r="K7" s="45">
        <v>45791</v>
      </c>
      <c r="L7" s="3" t="s">
        <v>259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261</v>
      </c>
      <c r="E8" s="9">
        <v>108973</v>
      </c>
      <c r="F8" s="22"/>
      <c r="G8" s="45">
        <v>45787</v>
      </c>
      <c r="H8" s="46">
        <v>74</v>
      </c>
      <c r="I8" s="49" t="str">
        <f t="shared" si="0"/>
        <v>74 days</v>
      </c>
      <c r="J8" s="21">
        <v>4</v>
      </c>
      <c r="K8" s="45">
        <v>45791</v>
      </c>
      <c r="L8" s="3" t="s">
        <v>260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>
        <v>45791</v>
      </c>
      <c r="H9" s="46">
        <v>67</v>
      </c>
      <c r="I9" s="49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8">
        <v>900</v>
      </c>
      <c r="E10" s="5"/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8">
        <v>2400</v>
      </c>
      <c r="E11" s="5"/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8">
        <v>25261</v>
      </c>
      <c r="E12" s="5"/>
      <c r="F12" s="57"/>
      <c r="G12" s="48"/>
      <c r="H12" s="113"/>
      <c r="I12" s="125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8">
        <v>3360</v>
      </c>
      <c r="E13" s="5"/>
      <c r="F13" s="57"/>
      <c r="G13" s="48"/>
      <c r="H13" s="113"/>
      <c r="I13" s="125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8">
        <v>6000</v>
      </c>
      <c r="E14" s="5"/>
      <c r="F14" s="69"/>
      <c r="G14" s="164" t="s">
        <v>140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8">
        <v>6000</v>
      </c>
      <c r="E15" s="5"/>
      <c r="F15" s="22"/>
      <c r="G15" s="16" t="s">
        <v>87</v>
      </c>
      <c r="H15" s="149">
        <v>45743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8">
        <v>4956</v>
      </c>
      <c r="E16" s="5"/>
      <c r="F16" s="22"/>
      <c r="G16" s="32" t="s">
        <v>100</v>
      </c>
      <c r="H16" s="155" t="s">
        <v>348</v>
      </c>
      <c r="I16" s="167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8">
        <v>5600</v>
      </c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8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8">
        <v>26577</v>
      </c>
      <c r="E19" s="5"/>
      <c r="F19" s="22"/>
      <c r="G19" s="45">
        <v>45783</v>
      </c>
      <c r="H19" s="46">
        <v>132</v>
      </c>
      <c r="I19" s="49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8">
        <v>24919</v>
      </c>
      <c r="E20" s="5"/>
      <c r="F20" s="22"/>
      <c r="G20" s="45">
        <v>45791</v>
      </c>
      <c r="H20" s="46">
        <v>102</v>
      </c>
      <c r="I20" s="49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8"/>
      <c r="E21" s="5"/>
      <c r="F21" s="22"/>
      <c r="G21" s="45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8"/>
      <c r="H22" s="46"/>
      <c r="I22" s="49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6"/>
      <c r="I23" s="49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850000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69" t="s">
        <v>148</v>
      </c>
      <c r="K32" s="169"/>
      <c r="L32" s="144" t="s">
        <v>246</v>
      </c>
      <c r="M32" s="144"/>
    </row>
    <row r="33" spans="1:13" x14ac:dyDescent="0.3">
      <c r="E33" s="15" t="s">
        <v>138</v>
      </c>
      <c r="F33" s="59">
        <f>H33*G33</f>
        <v>184140</v>
      </c>
      <c r="G33" s="59">
        <v>110</v>
      </c>
      <c r="H33" s="67">
        <v>1674</v>
      </c>
      <c r="I33" s="62">
        <v>220</v>
      </c>
      <c r="J33" s="163">
        <f>H33*I33</f>
        <v>368280</v>
      </c>
      <c r="K33" s="163"/>
      <c r="L33" s="85" t="s">
        <v>257</v>
      </c>
      <c r="M33" s="62">
        <v>400000</v>
      </c>
    </row>
    <row r="34" spans="1:13" x14ac:dyDescent="0.3">
      <c r="E34" s="15" t="s">
        <v>139</v>
      </c>
      <c r="F34" s="59">
        <f t="shared" ref="F34:F39" si="2">H34*G34</f>
        <v>160337.20000000001</v>
      </c>
      <c r="G34" s="59">
        <v>73</v>
      </c>
      <c r="H34" s="67">
        <v>2196.4</v>
      </c>
      <c r="I34" s="62">
        <v>260</v>
      </c>
      <c r="J34" s="163">
        <f t="shared" ref="J34:J39" si="3">H34*I34</f>
        <v>571064</v>
      </c>
      <c r="K34" s="163"/>
      <c r="L34" s="85" t="s">
        <v>262</v>
      </c>
      <c r="M34" s="62">
        <v>200000</v>
      </c>
    </row>
    <row r="35" spans="1:13" x14ac:dyDescent="0.3">
      <c r="C35" s="126"/>
      <c r="E35" s="15" t="s">
        <v>256</v>
      </c>
      <c r="F35" s="59">
        <f t="shared" si="2"/>
        <v>162508.5</v>
      </c>
      <c r="G35" s="59">
        <v>67</v>
      </c>
      <c r="H35" s="67">
        <v>2425.5</v>
      </c>
      <c r="I35" s="62">
        <v>280</v>
      </c>
      <c r="J35" s="163">
        <f t="shared" si="3"/>
        <v>679140</v>
      </c>
      <c r="K35" s="163"/>
      <c r="L35" s="85" t="s">
        <v>263</v>
      </c>
      <c r="M35" s="62">
        <v>250000</v>
      </c>
    </row>
    <row r="36" spans="1:13" x14ac:dyDescent="0.3">
      <c r="E36" s="15" t="s">
        <v>140</v>
      </c>
      <c r="F36" s="59">
        <f t="shared" si="2"/>
        <v>80304.599999999991</v>
      </c>
      <c r="G36" s="59">
        <v>102</v>
      </c>
      <c r="H36" s="67">
        <v>787.3</v>
      </c>
      <c r="I36" s="62">
        <v>220</v>
      </c>
      <c r="J36" s="163">
        <f t="shared" si="3"/>
        <v>173206</v>
      </c>
      <c r="K36" s="163"/>
      <c r="L36" s="85" t="s">
        <v>264</v>
      </c>
      <c r="M36" s="62">
        <v>985721</v>
      </c>
    </row>
    <row r="37" spans="1:13" x14ac:dyDescent="0.3">
      <c r="E37" s="15"/>
      <c r="F37" s="59">
        <v>0</v>
      </c>
      <c r="G37" s="59"/>
      <c r="H37" s="67"/>
      <c r="I37" s="62"/>
      <c r="J37" s="163">
        <f t="shared" si="3"/>
        <v>0</v>
      </c>
      <c r="K37" s="163"/>
      <c r="L37" s="85"/>
      <c r="M37" s="62"/>
    </row>
    <row r="38" spans="1:13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/>
      <c r="M38" s="62"/>
    </row>
    <row r="39" spans="1:13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/>
      <c r="M39" s="62"/>
    </row>
    <row r="40" spans="1:13" x14ac:dyDescent="0.3">
      <c r="E40" s="52" t="s">
        <v>144</v>
      </c>
      <c r="F40" s="60">
        <f>SUM(F33:F38)</f>
        <v>587290.30000000005</v>
      </c>
      <c r="G40" s="60"/>
      <c r="H40" s="84">
        <f>SUM(H33:H39)</f>
        <v>7083.2</v>
      </c>
      <c r="I40" s="52"/>
      <c r="J40" s="170">
        <f>SUM(J33:J39)</f>
        <v>1791690</v>
      </c>
      <c r="K40" s="170"/>
      <c r="L40" s="52" t="s">
        <v>174</v>
      </c>
      <c r="M40" s="5">
        <f>SUM(M33:M39)</f>
        <v>1835721</v>
      </c>
    </row>
    <row r="41" spans="1:13" ht="15" thickBot="1" x14ac:dyDescent="0.35">
      <c r="E41" s="52" t="s">
        <v>214</v>
      </c>
      <c r="F41" s="109" t="str">
        <f>CONCATENATE(ROUND((F40/F31)*100,2),"%")</f>
        <v>69.09%</v>
      </c>
      <c r="G41" s="15"/>
      <c r="H41" s="58"/>
      <c r="I41" s="15"/>
      <c r="J41" s="171"/>
      <c r="K41" s="171"/>
      <c r="L41" s="83" t="s">
        <v>175</v>
      </c>
      <c r="M41" s="105">
        <f>J40-M40</f>
        <v>-44031</v>
      </c>
    </row>
    <row r="42" spans="1:13" x14ac:dyDescent="0.3">
      <c r="D42" s="40"/>
      <c r="L42" s="68"/>
      <c r="M42" s="40"/>
    </row>
    <row r="43" spans="1:13" x14ac:dyDescent="0.3">
      <c r="A43" s="172" t="s">
        <v>196</v>
      </c>
      <c r="B43" s="172"/>
      <c r="C43" s="172"/>
      <c r="D43" s="59"/>
      <c r="E43" s="15"/>
      <c r="F43" s="3" t="e">
        <f>D43/E43</f>
        <v>#DIV/0!</v>
      </c>
      <c r="G43" s="5" t="e">
        <f>F43*265</f>
        <v>#DIV/0!</v>
      </c>
      <c r="H43" s="101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A43:C43"/>
  </mergeCells>
  <conditionalFormatting sqref="K1:L1">
    <cfRule type="cellIs" dxfId="25" priority="2" operator="greaterThan">
      <formula>0</formula>
    </cfRule>
    <cfRule type="cellIs" dxfId="24" priority="3" operator="lessThan">
      <formula>0</formula>
    </cfRule>
  </conditionalFormatting>
  <conditionalFormatting sqref="L5">
    <cfRule type="duplicateValues" dxfId="23" priority="1"/>
  </conditionalFormatting>
  <conditionalFormatting sqref="L6:L22">
    <cfRule type="duplicateValues" dxfId="22" priority="4"/>
  </conditionalFormatting>
  <conditionalFormatting sqref="M5:M22">
    <cfRule type="duplicateValues" dxfId="21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2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273</v>
      </c>
      <c r="B1" s="147"/>
      <c r="C1" s="147"/>
      <c r="D1" s="147"/>
      <c r="E1" s="148"/>
      <c r="F1" s="16" t="s">
        <v>87</v>
      </c>
      <c r="G1" s="149">
        <v>45840</v>
      </c>
      <c r="H1" s="150"/>
      <c r="I1" s="17" t="s">
        <v>36</v>
      </c>
      <c r="J1" s="151">
        <f>L2-D2</f>
        <v>1125929.5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1410000</v>
      </c>
      <c r="E2" s="20"/>
      <c r="F2" s="32" t="s">
        <v>100</v>
      </c>
      <c r="G2" s="155" t="s">
        <v>349</v>
      </c>
      <c r="H2" s="156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250</v>
      </c>
      <c r="D5" s="9">
        <v>300000</v>
      </c>
      <c r="E5" s="23" t="s">
        <v>310</v>
      </c>
      <c r="F5" s="45">
        <v>45884</v>
      </c>
      <c r="G5" s="46">
        <v>135</v>
      </c>
      <c r="H5" s="49" t="str">
        <f>IF(ISBLANK(F5),"",CONCATENATE(F5-$G$1+1," days"))</f>
        <v>45 days</v>
      </c>
      <c r="I5" s="21">
        <v>1</v>
      </c>
      <c r="J5" s="45">
        <v>45893</v>
      </c>
      <c r="K5" s="3" t="s">
        <v>276</v>
      </c>
      <c r="L5" s="5">
        <v>521040</v>
      </c>
      <c r="M5" s="22"/>
    </row>
    <row r="6" spans="1:13" x14ac:dyDescent="0.3">
      <c r="A6" s="41">
        <v>2</v>
      </c>
      <c r="B6" s="7"/>
      <c r="C6" s="3" t="s">
        <v>261</v>
      </c>
      <c r="D6" s="5">
        <v>160000</v>
      </c>
      <c r="E6" s="23"/>
      <c r="F6" s="45">
        <v>45889</v>
      </c>
      <c r="G6" s="46">
        <v>120</v>
      </c>
      <c r="H6" s="49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281</v>
      </c>
      <c r="L6" s="5">
        <v>756496</v>
      </c>
      <c r="M6" s="22"/>
    </row>
    <row r="7" spans="1:13" x14ac:dyDescent="0.3">
      <c r="A7" s="41">
        <v>3</v>
      </c>
      <c r="B7" s="7"/>
      <c r="C7" s="3" t="s">
        <v>282</v>
      </c>
      <c r="D7" s="5">
        <v>920000</v>
      </c>
      <c r="E7" s="23"/>
      <c r="F7" s="45">
        <v>45893</v>
      </c>
      <c r="G7" s="46">
        <v>98</v>
      </c>
      <c r="H7" s="49" t="str">
        <f t="shared" si="0"/>
        <v>54 days</v>
      </c>
      <c r="I7" s="21">
        <v>3</v>
      </c>
      <c r="J7" s="4">
        <v>45901</v>
      </c>
      <c r="K7" s="3" t="s">
        <v>286</v>
      </c>
      <c r="L7" s="5">
        <v>940405.5</v>
      </c>
      <c r="M7" s="22" t="s">
        <v>284</v>
      </c>
    </row>
    <row r="8" spans="1:13" x14ac:dyDescent="0.3">
      <c r="A8" s="41">
        <v>4</v>
      </c>
      <c r="B8" s="7"/>
      <c r="C8" s="3" t="s">
        <v>285</v>
      </c>
      <c r="D8" s="5">
        <v>30000</v>
      </c>
      <c r="E8" s="22"/>
      <c r="F8" s="45">
        <v>45899</v>
      </c>
      <c r="G8" s="46">
        <v>78</v>
      </c>
      <c r="H8" s="49" t="str">
        <f t="shared" si="0"/>
        <v>60 days</v>
      </c>
      <c r="I8" s="21">
        <v>4</v>
      </c>
      <c r="J8" s="4">
        <v>45912</v>
      </c>
      <c r="K8" s="3" t="s">
        <v>292</v>
      </c>
      <c r="L8" s="5">
        <v>317988</v>
      </c>
      <c r="M8" s="22"/>
    </row>
    <row r="9" spans="1:13" x14ac:dyDescent="0.3">
      <c r="A9" s="41">
        <v>5</v>
      </c>
      <c r="B9" s="132"/>
      <c r="C9" s="15"/>
      <c r="D9" s="15"/>
      <c r="E9" s="22"/>
      <c r="F9" s="48">
        <v>45900</v>
      </c>
      <c r="G9" s="46">
        <v>81</v>
      </c>
      <c r="H9" s="49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>
        <v>45901</v>
      </c>
      <c r="G10" s="46">
        <v>79</v>
      </c>
      <c r="H10" s="49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45840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">
        <v>291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45884</v>
      </c>
      <c r="G19" s="46">
        <v>150</v>
      </c>
      <c r="H19" s="49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45889</v>
      </c>
      <c r="G20" s="46">
        <v>120</v>
      </c>
      <c r="H20" s="49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45893</v>
      </c>
      <c r="G21" s="46">
        <v>97</v>
      </c>
      <c r="H21" s="49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45899</v>
      </c>
      <c r="G22" s="46">
        <v>80</v>
      </c>
      <c r="H22" s="49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45900</v>
      </c>
      <c r="G23" s="46">
        <v>74</v>
      </c>
      <c r="H23" s="49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8">
        <v>45907</v>
      </c>
      <c r="G24" s="46">
        <v>56</v>
      </c>
      <c r="H24" s="49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8">
        <v>45910</v>
      </c>
      <c r="G25" s="46">
        <v>50</v>
      </c>
      <c r="H25" s="49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8">
        <v>45912</v>
      </c>
      <c r="G26" s="46">
        <v>48</v>
      </c>
      <c r="H26" s="49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37"/>
    </row>
    <row r="31" spans="1:13" x14ac:dyDescent="0.3">
      <c r="A31" s="24"/>
      <c r="B31" s="25"/>
      <c r="C31" s="26"/>
      <c r="D31" s="66" t="s">
        <v>149</v>
      </c>
      <c r="E31" s="86">
        <v>1050000</v>
      </c>
      <c r="F31" s="93" t="s">
        <v>274</v>
      </c>
      <c r="G31" s="130">
        <v>900000</v>
      </c>
      <c r="H31" s="61" t="s">
        <v>275</v>
      </c>
      <c r="I31" s="175">
        <v>150000</v>
      </c>
      <c r="J31" s="175"/>
      <c r="K31" s="100"/>
      <c r="L31" s="100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9" t="s">
        <v>148</v>
      </c>
      <c r="J32" s="169"/>
      <c r="K32" s="144" t="s">
        <v>246</v>
      </c>
      <c r="L32" s="144"/>
    </row>
    <row r="33" spans="1:12" x14ac:dyDescent="0.3">
      <c r="D33" s="15" t="s">
        <v>277</v>
      </c>
      <c r="E33" s="59">
        <f>G33*F33</f>
        <v>190815.8</v>
      </c>
      <c r="F33" s="59">
        <v>98</v>
      </c>
      <c r="G33" s="67">
        <v>1947.1</v>
      </c>
      <c r="H33" s="62">
        <v>240</v>
      </c>
      <c r="I33" s="163">
        <f>G33*H33</f>
        <v>467304</v>
      </c>
      <c r="J33" s="163"/>
      <c r="K33" s="85" t="s">
        <v>287</v>
      </c>
      <c r="L33" s="62">
        <v>100000</v>
      </c>
    </row>
    <row r="34" spans="1:12" x14ac:dyDescent="0.3">
      <c r="D34" s="15" t="s">
        <v>278</v>
      </c>
      <c r="E34" s="59">
        <f t="shared" ref="E34:E39" si="2">G34*F34</f>
        <v>21718.3</v>
      </c>
      <c r="F34" s="59">
        <v>97</v>
      </c>
      <c r="G34" s="67">
        <v>223.9</v>
      </c>
      <c r="H34" s="62">
        <v>240</v>
      </c>
      <c r="I34" s="163">
        <f t="shared" ref="I34:I39" si="3">G34*H34</f>
        <v>53736</v>
      </c>
      <c r="J34" s="163"/>
      <c r="K34" s="85" t="s">
        <v>290</v>
      </c>
      <c r="L34" s="62">
        <v>600000</v>
      </c>
    </row>
    <row r="35" spans="1:12" x14ac:dyDescent="0.3">
      <c r="B35" s="126"/>
      <c r="D35" s="15" t="s">
        <v>279</v>
      </c>
      <c r="E35" s="59">
        <f t="shared" si="2"/>
        <v>185004</v>
      </c>
      <c r="F35" s="59">
        <v>81</v>
      </c>
      <c r="G35" s="67">
        <v>2284</v>
      </c>
      <c r="H35" s="62">
        <v>265</v>
      </c>
      <c r="I35" s="163">
        <f t="shared" si="3"/>
        <v>605260</v>
      </c>
      <c r="J35" s="163"/>
      <c r="K35" s="85" t="s">
        <v>294</v>
      </c>
      <c r="L35" s="62">
        <v>700000</v>
      </c>
    </row>
    <row r="36" spans="1:12" x14ac:dyDescent="0.3">
      <c r="D36" s="15" t="s">
        <v>280</v>
      </c>
      <c r="E36" s="59">
        <f t="shared" si="2"/>
        <v>42231.8</v>
      </c>
      <c r="F36" s="59">
        <v>74</v>
      </c>
      <c r="G36" s="67">
        <v>570.70000000000005</v>
      </c>
      <c r="H36" s="62">
        <v>265</v>
      </c>
      <c r="I36" s="163">
        <f t="shared" si="3"/>
        <v>151235.5</v>
      </c>
      <c r="J36" s="163"/>
      <c r="K36" s="85" t="s">
        <v>143</v>
      </c>
      <c r="L36" s="62">
        <v>920000</v>
      </c>
    </row>
    <row r="37" spans="1:12" x14ac:dyDescent="0.3">
      <c r="D37" s="15" t="s">
        <v>283</v>
      </c>
      <c r="E37" s="59">
        <f t="shared" si="2"/>
        <v>280347.3</v>
      </c>
      <c r="F37" s="59">
        <v>79</v>
      </c>
      <c r="G37" s="67">
        <v>3548.7</v>
      </c>
      <c r="H37" s="62">
        <v>265</v>
      </c>
      <c r="I37" s="163">
        <f t="shared" si="3"/>
        <v>940405.5</v>
      </c>
      <c r="J37" s="163"/>
      <c r="K37" s="85" t="s">
        <v>295</v>
      </c>
      <c r="L37" s="62">
        <v>16000</v>
      </c>
    </row>
    <row r="38" spans="1:12" x14ac:dyDescent="0.3">
      <c r="D38" s="15" t="s">
        <v>293</v>
      </c>
      <c r="E38" s="59">
        <f t="shared" si="2"/>
        <v>46252.800000000003</v>
      </c>
      <c r="F38" s="59">
        <v>48</v>
      </c>
      <c r="G38" s="67">
        <v>963.6</v>
      </c>
      <c r="H38" s="62">
        <v>330</v>
      </c>
      <c r="I38" s="163">
        <f t="shared" si="3"/>
        <v>317988</v>
      </c>
      <c r="J38" s="163"/>
      <c r="K38" s="85" t="s">
        <v>297</v>
      </c>
      <c r="L38" s="62">
        <v>200000</v>
      </c>
    </row>
    <row r="39" spans="1:12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/>
      <c r="L39" s="62"/>
    </row>
    <row r="40" spans="1:12" x14ac:dyDescent="0.3">
      <c r="D40" s="52" t="s">
        <v>144</v>
      </c>
      <c r="E40" s="60">
        <f>SUM(E33:E38)</f>
        <v>766370</v>
      </c>
      <c r="F40" s="60"/>
      <c r="G40" s="84">
        <f>SUM(G33:G39)</f>
        <v>9538</v>
      </c>
      <c r="H40" s="52"/>
      <c r="I40" s="170">
        <f>SUM(I33:I39)</f>
        <v>2535929</v>
      </c>
      <c r="J40" s="170"/>
      <c r="K40" s="52" t="s">
        <v>174</v>
      </c>
      <c r="L40" s="5">
        <f>SUM(L33:L39)</f>
        <v>2536000</v>
      </c>
    </row>
    <row r="41" spans="1:12" ht="15" thickBot="1" x14ac:dyDescent="0.35">
      <c r="D41" s="52" t="s">
        <v>214</v>
      </c>
      <c r="E41" s="109" t="str">
        <f>CONCATENATE(ROUND((E40/E31)*100,2),"%")</f>
        <v>72.99%</v>
      </c>
      <c r="F41" s="15"/>
      <c r="G41" s="58"/>
      <c r="H41" s="15"/>
      <c r="I41" s="171"/>
      <c r="J41" s="171"/>
      <c r="K41" s="83" t="s">
        <v>175</v>
      </c>
      <c r="L41" s="5">
        <f>I40-L40</f>
        <v>-71</v>
      </c>
    </row>
    <row r="42" spans="1:12" x14ac:dyDescent="0.3">
      <c r="C42" s="40"/>
      <c r="K42" s="68"/>
      <c r="L42" s="40"/>
    </row>
    <row r="43" spans="1:12" x14ac:dyDescent="0.3">
      <c r="A43" s="172" t="s">
        <v>288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3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1:J31"/>
    <mergeCell ref="I32:J32"/>
    <mergeCell ref="K32:L32"/>
    <mergeCell ref="I33:J33"/>
    <mergeCell ref="I34:J34"/>
    <mergeCell ref="I35:J35"/>
    <mergeCell ref="I36:J36"/>
    <mergeCell ref="I38:J38"/>
    <mergeCell ref="I39:J39"/>
    <mergeCell ref="I40:J40"/>
    <mergeCell ref="I41:J41"/>
    <mergeCell ref="A43:B43"/>
  </mergeCells>
  <conditionalFormatting sqref="J1:K1">
    <cfRule type="cellIs" dxfId="20" priority="2" operator="greaterThan">
      <formula>0</formula>
    </cfRule>
    <cfRule type="cellIs" dxfId="19" priority="3" operator="lessThan">
      <formula>0</formula>
    </cfRule>
  </conditionalFormatting>
  <conditionalFormatting sqref="K5">
    <cfRule type="duplicateValues" dxfId="18" priority="1"/>
  </conditionalFormatting>
  <conditionalFormatting sqref="K6:K22">
    <cfRule type="duplicateValues" dxfId="17" priority="4"/>
  </conditionalFormatting>
  <conditionalFormatting sqref="L5:L22">
    <cfRule type="duplicateValues" dxfId="16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zoomScaleNormal="100" workbookViewId="0">
      <pane ySplit="1" topLeftCell="A29" activePane="bottomLeft" state="frozen"/>
      <selection pane="bottomLeft" activeCell="D33" sqref="D33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315</v>
      </c>
      <c r="B1" s="147"/>
      <c r="C1" s="147"/>
      <c r="D1" s="147"/>
      <c r="E1" s="148"/>
      <c r="F1" s="16" t="s">
        <v>87</v>
      </c>
      <c r="G1" s="149">
        <v>45918</v>
      </c>
      <c r="H1" s="150"/>
      <c r="I1" s="17" t="s">
        <v>36</v>
      </c>
      <c r="J1" s="151">
        <f>L2-D2</f>
        <v>979350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1551000</v>
      </c>
      <c r="E2" s="20"/>
      <c r="F2" s="32" t="s">
        <v>100</v>
      </c>
      <c r="G2" s="155" t="s">
        <v>347</v>
      </c>
      <c r="H2" s="156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311</v>
      </c>
      <c r="F5" s="45">
        <v>45972</v>
      </c>
      <c r="G5" s="46">
        <v>90</v>
      </c>
      <c r="H5" s="49" t="str">
        <f>IF(ISBLANK(F5),"",CONCATENATE(F5-$G$1+1," days"))</f>
        <v>55 days</v>
      </c>
      <c r="I5" s="21">
        <v>1</v>
      </c>
      <c r="J5" s="45">
        <v>45975</v>
      </c>
      <c r="K5" s="3" t="s">
        <v>307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296</v>
      </c>
      <c r="D6" s="5">
        <v>17500</v>
      </c>
      <c r="E6" s="23"/>
      <c r="F6" s="45">
        <v>45974</v>
      </c>
      <c r="G6" s="46">
        <v>93</v>
      </c>
      <c r="H6" s="49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313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319</v>
      </c>
      <c r="D7" s="5">
        <v>996000</v>
      </c>
      <c r="E7" s="23"/>
      <c r="F7" s="45">
        <v>45975</v>
      </c>
      <c r="G7" s="46">
        <v>88</v>
      </c>
      <c r="H7" s="49" t="str">
        <f t="shared" si="0"/>
        <v>58 days</v>
      </c>
      <c r="I7" s="21">
        <v>3</v>
      </c>
      <c r="J7" s="4">
        <v>45995</v>
      </c>
      <c r="K7" s="3" t="s">
        <v>317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308</v>
      </c>
      <c r="D8" s="5">
        <v>15000</v>
      </c>
      <c r="E8" s="22"/>
      <c r="F8" s="45">
        <v>45982</v>
      </c>
      <c r="G8" s="46">
        <v>72</v>
      </c>
      <c r="H8" s="49" t="str">
        <f t="shared" si="0"/>
        <v>65 days</v>
      </c>
      <c r="I8" s="21">
        <v>4</v>
      </c>
      <c r="J8" s="4">
        <v>45995</v>
      </c>
      <c r="K8" s="3" t="s">
        <v>318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316</v>
      </c>
      <c r="D9" s="5">
        <v>100000</v>
      </c>
      <c r="E9" s="22"/>
      <c r="F9" s="48">
        <v>45985</v>
      </c>
      <c r="G9" s="46">
        <v>68</v>
      </c>
      <c r="H9" s="49" t="str">
        <f t="shared" si="0"/>
        <v>68 days</v>
      </c>
      <c r="I9" s="21">
        <v>5</v>
      </c>
      <c r="J9" s="4">
        <v>46001</v>
      </c>
      <c r="K9" s="3" t="s">
        <v>322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8">
        <v>45991</v>
      </c>
      <c r="G10" s="46">
        <v>62</v>
      </c>
      <c r="H10" s="49" t="str">
        <f t="shared" si="0"/>
        <v>74 days</v>
      </c>
      <c r="I10" s="21">
        <v>6</v>
      </c>
      <c r="J10" s="4">
        <v>46003</v>
      </c>
      <c r="K10" s="3" t="s">
        <v>321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329</v>
      </c>
      <c r="D11" s="5">
        <v>34500</v>
      </c>
      <c r="E11" s="22"/>
      <c r="F11" s="48">
        <v>45995</v>
      </c>
      <c r="G11" s="46">
        <v>58</v>
      </c>
      <c r="H11" s="49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352</v>
      </c>
      <c r="D12" s="5">
        <v>30000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45918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">
        <v>347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226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45972</v>
      </c>
      <c r="G19" s="46">
        <v>130</v>
      </c>
      <c r="H19" s="49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45979</v>
      </c>
      <c r="G20" s="46">
        <v>110</v>
      </c>
      <c r="H20" s="49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45991</v>
      </c>
      <c r="G21" s="46">
        <v>93</v>
      </c>
      <c r="H21" s="49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45995</v>
      </c>
      <c r="G22" s="46">
        <v>78</v>
      </c>
      <c r="H22" s="49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900000</v>
      </c>
      <c r="F31" s="93" t="s">
        <v>274</v>
      </c>
      <c r="G31" s="86">
        <v>750000</v>
      </c>
      <c r="H31" s="61" t="s">
        <v>275</v>
      </c>
      <c r="I31" s="86">
        <v>150000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9" t="s">
        <v>148</v>
      </c>
      <c r="J32" s="169"/>
      <c r="K32" s="144" t="s">
        <v>246</v>
      </c>
      <c r="L32" s="145"/>
      <c r="M32" s="15"/>
    </row>
    <row r="33" spans="1:13" x14ac:dyDescent="0.3">
      <c r="D33" s="15" t="s">
        <v>306</v>
      </c>
      <c r="E33" s="59">
        <f>G33*F33</f>
        <v>181887.2</v>
      </c>
      <c r="F33" s="59">
        <v>88</v>
      </c>
      <c r="G33" s="67">
        <v>2066.9</v>
      </c>
      <c r="H33" s="62">
        <v>240</v>
      </c>
      <c r="I33" s="163">
        <f>G33*H33</f>
        <v>496056</v>
      </c>
      <c r="J33" s="163"/>
      <c r="K33" s="85" t="s">
        <v>320</v>
      </c>
      <c r="L33" s="136">
        <v>50000</v>
      </c>
      <c r="M33" s="15"/>
    </row>
    <row r="34" spans="1:13" x14ac:dyDescent="0.3">
      <c r="D34" s="15" t="s">
        <v>309</v>
      </c>
      <c r="E34" s="59">
        <f t="shared" ref="E34:E39" si="2">G34*F34</f>
        <v>146009.59999999998</v>
      </c>
      <c r="F34" s="59">
        <v>68</v>
      </c>
      <c r="G34" s="67">
        <v>2147.1999999999998</v>
      </c>
      <c r="H34" s="62">
        <v>300</v>
      </c>
      <c r="I34" s="163">
        <f t="shared" ref="I34:I39" si="3">G34*H34</f>
        <v>644160</v>
      </c>
      <c r="J34" s="163"/>
      <c r="K34" s="85" t="s">
        <v>143</v>
      </c>
      <c r="L34" s="136">
        <v>996688</v>
      </c>
      <c r="M34" s="15"/>
    </row>
    <row r="35" spans="1:13" x14ac:dyDescent="0.3">
      <c r="B35" s="126"/>
      <c r="D35" s="15" t="s">
        <v>256</v>
      </c>
      <c r="E35" s="59">
        <f t="shared" si="2"/>
        <v>196782.40000000002</v>
      </c>
      <c r="F35" s="59">
        <v>58</v>
      </c>
      <c r="G35" s="67">
        <v>3392.8</v>
      </c>
      <c r="H35" s="62">
        <v>335</v>
      </c>
      <c r="I35" s="163">
        <f t="shared" si="3"/>
        <v>1136588</v>
      </c>
      <c r="J35" s="163"/>
      <c r="K35" s="85" t="s">
        <v>330</v>
      </c>
      <c r="L35" s="136">
        <v>500000</v>
      </c>
      <c r="M35" s="15" t="s">
        <v>226</v>
      </c>
    </row>
    <row r="36" spans="1:13" x14ac:dyDescent="0.3">
      <c r="D36" s="15" t="s">
        <v>312</v>
      </c>
      <c r="E36" s="59">
        <f t="shared" si="2"/>
        <v>66853.8</v>
      </c>
      <c r="F36" s="59">
        <v>78</v>
      </c>
      <c r="G36" s="67">
        <v>857.1</v>
      </c>
      <c r="H36" s="62">
        <v>285</v>
      </c>
      <c r="I36" s="163">
        <f t="shared" si="3"/>
        <v>244273.5</v>
      </c>
      <c r="J36" s="163"/>
      <c r="K36" s="85" t="s">
        <v>331</v>
      </c>
      <c r="L36" s="136">
        <v>500000</v>
      </c>
      <c r="M36" s="15"/>
    </row>
    <row r="37" spans="1:13" x14ac:dyDescent="0.3">
      <c r="D37" s="15" t="s">
        <v>322</v>
      </c>
      <c r="E37" s="59">
        <f t="shared" si="2"/>
        <v>570</v>
      </c>
      <c r="F37" s="59">
        <v>60</v>
      </c>
      <c r="G37" s="67">
        <v>9.5</v>
      </c>
      <c r="H37" s="62">
        <v>335</v>
      </c>
      <c r="I37" s="163">
        <f t="shared" si="3"/>
        <v>3182.5</v>
      </c>
      <c r="J37" s="163"/>
      <c r="K37" s="85" t="s">
        <v>333</v>
      </c>
      <c r="L37" s="136">
        <v>300000</v>
      </c>
      <c r="M37" s="15"/>
    </row>
    <row r="38" spans="1:13" x14ac:dyDescent="0.3">
      <c r="D38" s="15" t="s">
        <v>321</v>
      </c>
      <c r="E38" s="59">
        <f t="shared" si="2"/>
        <v>1680</v>
      </c>
      <c r="F38" s="59">
        <v>80</v>
      </c>
      <c r="G38" s="67">
        <v>21</v>
      </c>
      <c r="H38" s="62">
        <v>290</v>
      </c>
      <c r="I38" s="163">
        <f t="shared" si="3"/>
        <v>6090</v>
      </c>
      <c r="J38" s="163"/>
      <c r="K38" s="85" t="s">
        <v>320</v>
      </c>
      <c r="L38" s="136">
        <v>50000</v>
      </c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 t="s">
        <v>155</v>
      </c>
      <c r="L39" s="136">
        <v>136000</v>
      </c>
      <c r="M39" s="15"/>
    </row>
    <row r="40" spans="1:13" x14ac:dyDescent="0.3">
      <c r="D40" s="52" t="s">
        <v>144</v>
      </c>
      <c r="E40" s="60">
        <f>SUM(E33:E38)</f>
        <v>593783</v>
      </c>
      <c r="F40" s="60"/>
      <c r="G40" s="84">
        <f>SUM(G33:G39)</f>
        <v>8494.5</v>
      </c>
      <c r="H40" s="52"/>
      <c r="I40" s="170">
        <f>SUM(I33:I39)</f>
        <v>2530350</v>
      </c>
      <c r="J40" s="170"/>
      <c r="K40" s="52" t="s">
        <v>174</v>
      </c>
      <c r="L40" s="137">
        <f>SUM(L33:L39)</f>
        <v>2532688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65.98%</v>
      </c>
      <c r="F41" s="15"/>
      <c r="G41" s="58"/>
      <c r="H41" s="15"/>
      <c r="I41" s="171"/>
      <c r="J41" s="171"/>
      <c r="K41" s="83" t="s">
        <v>175</v>
      </c>
      <c r="L41" s="105">
        <f>I40-L40</f>
        <v>-2338</v>
      </c>
      <c r="M41" s="15"/>
    </row>
    <row r="42" spans="1:13" x14ac:dyDescent="0.3">
      <c r="C42" s="40"/>
      <c r="K42" s="68"/>
      <c r="L42" s="40"/>
    </row>
    <row r="43" spans="1:13" x14ac:dyDescent="0.3">
      <c r="A43" s="172" t="s">
        <v>288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2" t="s">
        <v>288</v>
      </c>
      <c r="B44" s="172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</mergeCells>
  <conditionalFormatting sqref="J1:K1">
    <cfRule type="cellIs" dxfId="15" priority="2" operator="greaterThan">
      <formula>0</formula>
    </cfRule>
    <cfRule type="cellIs" dxfId="14" priority="3" operator="lessThan">
      <formula>0</formula>
    </cfRule>
  </conditionalFormatting>
  <conditionalFormatting sqref="K5:K6">
    <cfRule type="duplicateValues" dxfId="13" priority="1"/>
  </conditionalFormatting>
  <conditionalFormatting sqref="K7:K22">
    <cfRule type="duplicateValues" dxfId="12" priority="4"/>
  </conditionalFormatting>
  <conditionalFormatting sqref="L5:L22">
    <cfRule type="duplicateValues" dxfId="11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30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336</v>
      </c>
      <c r="B1" s="147"/>
      <c r="C1" s="147"/>
      <c r="D1" s="147"/>
      <c r="E1" s="148"/>
      <c r="F1" s="16" t="s">
        <v>87</v>
      </c>
      <c r="G1" s="149">
        <v>46016</v>
      </c>
      <c r="H1" s="150"/>
      <c r="I1" s="17" t="s">
        <v>36</v>
      </c>
      <c r="J1" s="151">
        <f>L2-D2</f>
        <v>-469722.5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585000</v>
      </c>
      <c r="E2" s="20"/>
      <c r="F2" s="32" t="s">
        <v>100</v>
      </c>
      <c r="G2" s="155" t="s">
        <v>350</v>
      </c>
      <c r="H2" s="156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334</v>
      </c>
      <c r="F5" s="45">
        <v>46049</v>
      </c>
      <c r="G5" s="46">
        <v>518</v>
      </c>
      <c r="H5" s="49" t="str">
        <f>IF(ISBLANK(F5),"",CONCATENATE(F5-$G$1+1," days"))</f>
        <v>34 days</v>
      </c>
      <c r="I5" s="21">
        <v>1</v>
      </c>
      <c r="J5" s="45">
        <v>46046</v>
      </c>
      <c r="K5" s="3" t="s">
        <v>339</v>
      </c>
      <c r="L5" s="5">
        <v>0</v>
      </c>
      <c r="M5" s="22" t="s">
        <v>335</v>
      </c>
    </row>
    <row r="6" spans="1:13" x14ac:dyDescent="0.3">
      <c r="A6" s="41">
        <v>2</v>
      </c>
      <c r="B6" s="7">
        <v>46016</v>
      </c>
      <c r="C6" s="3" t="s">
        <v>332</v>
      </c>
      <c r="D6" s="5">
        <v>13000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>
        <v>46049</v>
      </c>
      <c r="K6" s="3" t="s">
        <v>338</v>
      </c>
      <c r="L6" s="5">
        <v>115277.5</v>
      </c>
      <c r="M6" s="22" t="s">
        <v>335</v>
      </c>
    </row>
    <row r="7" spans="1:13" x14ac:dyDescent="0.3">
      <c r="A7" s="41">
        <v>3</v>
      </c>
      <c r="B7" s="7">
        <v>46046</v>
      </c>
      <c r="C7" s="3" t="s">
        <v>341</v>
      </c>
      <c r="D7" s="5">
        <v>250000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329</v>
      </c>
      <c r="D8" s="5">
        <v>34000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46016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">
        <v>351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990000</v>
      </c>
      <c r="F31" s="93" t="s">
        <v>274</v>
      </c>
      <c r="G31" s="86">
        <v>830000</v>
      </c>
      <c r="H31" s="61" t="s">
        <v>275</v>
      </c>
      <c r="I31" s="86">
        <v>160000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9" t="s">
        <v>148</v>
      </c>
      <c r="J32" s="169"/>
      <c r="K32" s="144" t="s">
        <v>246</v>
      </c>
      <c r="L32" s="145"/>
      <c r="M32" s="15"/>
    </row>
    <row r="33" spans="1:13" x14ac:dyDescent="0.3">
      <c r="D33" s="15" t="s">
        <v>338</v>
      </c>
      <c r="E33" s="59">
        <f>G33*F33</f>
        <v>918673</v>
      </c>
      <c r="F33" s="59">
        <v>518</v>
      </c>
      <c r="G33" s="67">
        <v>1773.5</v>
      </c>
      <c r="H33" s="62">
        <v>65</v>
      </c>
      <c r="I33" s="163">
        <f>G33*H33</f>
        <v>115277.5</v>
      </c>
      <c r="J33" s="163"/>
      <c r="K33" s="85" t="s">
        <v>143</v>
      </c>
      <c r="L33" s="136">
        <v>250000</v>
      </c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63">
        <f t="shared" ref="I34:I39" si="3">G34*H34</f>
        <v>0</v>
      </c>
      <c r="J34" s="163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63">
        <f t="shared" si="3"/>
        <v>0</v>
      </c>
      <c r="J35" s="163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63">
        <f t="shared" si="3"/>
        <v>0</v>
      </c>
      <c r="J36" s="163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63">
        <f t="shared" si="3"/>
        <v>0</v>
      </c>
      <c r="J37" s="163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63">
        <f t="shared" si="3"/>
        <v>0</v>
      </c>
      <c r="J38" s="163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/>
      <c r="L39" s="136"/>
      <c r="M39" s="15"/>
    </row>
    <row r="40" spans="1:13" x14ac:dyDescent="0.3">
      <c r="D40" s="52" t="s">
        <v>144</v>
      </c>
      <c r="E40" s="60">
        <f>SUM(E33:E38)</f>
        <v>918673</v>
      </c>
      <c r="F40" s="60"/>
      <c r="G40" s="84">
        <f>SUM(G33:G39)</f>
        <v>1773.5</v>
      </c>
      <c r="H40" s="52"/>
      <c r="I40" s="170">
        <f>SUM(I33:I39)</f>
        <v>115277.5</v>
      </c>
      <c r="J40" s="170"/>
      <c r="K40" s="52" t="s">
        <v>174</v>
      </c>
      <c r="L40" s="137">
        <f>SUM(L33:L39)</f>
        <v>250000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92.8%</v>
      </c>
      <c r="F41" s="15"/>
      <c r="G41" s="58"/>
      <c r="H41" s="15"/>
      <c r="I41" s="171"/>
      <c r="J41" s="171"/>
      <c r="K41" s="83" t="s">
        <v>175</v>
      </c>
      <c r="L41" s="105">
        <f>I40-L40</f>
        <v>-134722.5</v>
      </c>
      <c r="M41" s="15"/>
    </row>
    <row r="42" spans="1:13" x14ac:dyDescent="0.3">
      <c r="C42" s="40"/>
      <c r="K42" s="68"/>
      <c r="L42" s="40"/>
    </row>
    <row r="43" spans="1:13" x14ac:dyDescent="0.3">
      <c r="A43" s="172" t="s">
        <v>288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2" t="s">
        <v>288</v>
      </c>
      <c r="B44" s="172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9:J39"/>
    <mergeCell ref="I40:J40"/>
    <mergeCell ref="I41:J41"/>
    <mergeCell ref="A43:B43"/>
    <mergeCell ref="A44:B44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10" priority="2" operator="greaterThan">
      <formula>0</formula>
    </cfRule>
    <cfRule type="cellIs" dxfId="9" priority="3" operator="lessThan">
      <formula>0</formula>
    </cfRule>
  </conditionalFormatting>
  <conditionalFormatting sqref="K5:K6">
    <cfRule type="duplicateValues" dxfId="8" priority="1"/>
  </conditionalFormatting>
  <conditionalFormatting sqref="K7:K22">
    <cfRule type="duplicateValues" dxfId="7" priority="4"/>
  </conditionalFormatting>
  <conditionalFormatting sqref="L5:L22">
    <cfRule type="duplicateValues" dxfId="6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tabSelected="1" zoomScaleNormal="100" workbookViewId="0">
      <pane ySplit="1" topLeftCell="A30" activePane="bottomLeft" state="frozen"/>
      <selection pane="bottomLeft" activeCell="E48" sqref="E48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337</v>
      </c>
      <c r="B1" s="147"/>
      <c r="C1" s="147"/>
      <c r="D1" s="147"/>
      <c r="E1" s="148"/>
      <c r="F1" s="16" t="s">
        <v>87</v>
      </c>
      <c r="G1" s="149">
        <v>46068</v>
      </c>
      <c r="H1" s="150"/>
      <c r="I1" s="17" t="s">
        <v>36</v>
      </c>
      <c r="J1" s="151">
        <f>L2-D2</f>
        <v>-920795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1379045</v>
      </c>
      <c r="E2" s="20"/>
      <c r="F2" s="32" t="s">
        <v>100</v>
      </c>
      <c r="G2" s="155" t="str">
        <f ca="1">IF(ISBLANK(G1),"",CONCATENATE(_xlfn.DAYS(TODAY(), G1-1)," days"))</f>
        <v>65 days</v>
      </c>
      <c r="H2" s="156"/>
      <c r="I2" s="38"/>
      <c r="J2" s="10"/>
      <c r="K2" s="11" t="s">
        <v>32</v>
      </c>
      <c r="L2" s="12">
        <f>SUM(L5:L22)</f>
        <v>458250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46068</v>
      </c>
      <c r="C5" s="26" t="s">
        <v>64</v>
      </c>
      <c r="D5" s="9">
        <v>256000</v>
      </c>
      <c r="E5" s="23"/>
      <c r="F5" s="45">
        <v>46124</v>
      </c>
      <c r="G5" s="46">
        <v>166</v>
      </c>
      <c r="H5" s="49" t="str">
        <f>IF(ISBLANK(F5),"",CONCATENATE(F5-$G$1+1," days"))</f>
        <v>57 days</v>
      </c>
      <c r="I5" s="21">
        <v>1</v>
      </c>
      <c r="J5" s="45">
        <v>46132</v>
      </c>
      <c r="K5" s="3" t="s">
        <v>358</v>
      </c>
      <c r="L5" s="5">
        <v>458250</v>
      </c>
      <c r="M5" s="22"/>
    </row>
    <row r="6" spans="1:13" x14ac:dyDescent="0.3">
      <c r="A6" s="41">
        <v>2</v>
      </c>
      <c r="B6" s="7">
        <v>46068</v>
      </c>
      <c r="C6" s="3" t="s">
        <v>332</v>
      </c>
      <c r="D6" s="5">
        <v>33000</v>
      </c>
      <c r="E6" s="23"/>
      <c r="F6" s="45">
        <v>46127</v>
      </c>
      <c r="G6" s="46">
        <v>150</v>
      </c>
      <c r="H6" s="49" t="str">
        <f t="shared" ref="H6:H13" si="0">IF(ISBLANK(F6),"",CONCATENATE(F6-$G$1+1," days"))</f>
        <v>60 days</v>
      </c>
      <c r="I6" s="21">
        <v>2</v>
      </c>
      <c r="J6" s="4"/>
      <c r="K6" s="3"/>
      <c r="L6" s="5"/>
      <c r="M6" s="22"/>
    </row>
    <row r="7" spans="1:13" x14ac:dyDescent="0.3">
      <c r="A7" s="41">
        <v>3</v>
      </c>
      <c r="B7" s="7">
        <v>46072</v>
      </c>
      <c r="C7" s="3" t="s">
        <v>96</v>
      </c>
      <c r="D7" s="5">
        <v>38672</v>
      </c>
      <c r="E7" s="23"/>
      <c r="F7" s="45">
        <v>46131</v>
      </c>
      <c r="G7" s="46">
        <v>133</v>
      </c>
      <c r="H7" s="49" t="str">
        <f t="shared" si="0"/>
        <v>64 days</v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46067</v>
      </c>
      <c r="C8" s="3" t="s">
        <v>96</v>
      </c>
      <c r="D8" s="5">
        <v>15813</v>
      </c>
      <c r="E8" s="22"/>
      <c r="F8" s="45">
        <v>46132</v>
      </c>
      <c r="G8" s="46">
        <v>131</v>
      </c>
      <c r="H8" s="49" t="str">
        <f t="shared" si="0"/>
        <v>65 days</v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>
        <v>46107</v>
      </c>
      <c r="C9" s="3" t="s">
        <v>308</v>
      </c>
      <c r="D9" s="9">
        <v>6000</v>
      </c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>
        <v>46111</v>
      </c>
      <c r="C10" s="3" t="s">
        <v>143</v>
      </c>
      <c r="D10" s="9">
        <v>1000000</v>
      </c>
      <c r="E10" s="22" t="s">
        <v>357</v>
      </c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>
        <v>46127</v>
      </c>
      <c r="C11" s="3" t="s">
        <v>96</v>
      </c>
      <c r="D11" s="5">
        <v>29560</v>
      </c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132"/>
      <c r="C14" s="3"/>
      <c r="D14" s="9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46068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tr">
        <f ca="1">IF(ISBLANK(G15),"",CONCATENATE(_xlfn.DAYS(TODAY(), G1-1)," days"))</f>
        <v>65 days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46124</v>
      </c>
      <c r="G19" s="46">
        <v>135</v>
      </c>
      <c r="H19" s="49" t="str">
        <f>IF(ISBLANK(F19),"",CONCATENATE(F19-$G$15+1," days"))</f>
        <v>57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46131</v>
      </c>
      <c r="G20" s="46">
        <v>97</v>
      </c>
      <c r="H20" s="49" t="str">
        <f t="shared" ref="H20:H25" si="1">IF(ISBLANK(F20),"",CONCATENATE(F20-$G$15+1," days"))</f>
        <v>64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274</v>
      </c>
      <c r="G31" s="86">
        <v>700000</v>
      </c>
      <c r="H31" s="61" t="s">
        <v>275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9" t="s">
        <v>148</v>
      </c>
      <c r="J32" s="169"/>
      <c r="K32" s="144" t="s">
        <v>246</v>
      </c>
      <c r="L32" s="145"/>
      <c r="M32" s="15"/>
    </row>
    <row r="33" spans="1:13" x14ac:dyDescent="0.3">
      <c r="D33" s="15" t="s">
        <v>306</v>
      </c>
      <c r="E33" s="59">
        <f>G33*F33</f>
        <v>255450</v>
      </c>
      <c r="F33" s="59">
        <v>131</v>
      </c>
      <c r="G33" s="67">
        <v>1950</v>
      </c>
      <c r="H33" s="62">
        <v>234</v>
      </c>
      <c r="I33" s="163">
        <f>G33*H33</f>
        <v>456300</v>
      </c>
      <c r="J33" s="163"/>
      <c r="K33" s="85" t="s">
        <v>355</v>
      </c>
      <c r="L33" s="136">
        <v>134000</v>
      </c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63">
        <f t="shared" ref="I34:I39" si="3">G34*H34</f>
        <v>0</v>
      </c>
      <c r="J34" s="163"/>
      <c r="K34" s="85" t="s">
        <v>356</v>
      </c>
      <c r="L34" s="136">
        <v>200000</v>
      </c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63">
        <f t="shared" si="3"/>
        <v>0</v>
      </c>
      <c r="J35" s="163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63">
        <f t="shared" si="3"/>
        <v>0</v>
      </c>
      <c r="J36" s="163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63">
        <f t="shared" si="3"/>
        <v>0</v>
      </c>
      <c r="J37" s="163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63">
        <f t="shared" si="3"/>
        <v>0</v>
      </c>
      <c r="J38" s="163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/>
      <c r="L39" s="136"/>
      <c r="M39" s="15"/>
    </row>
    <row r="40" spans="1:13" x14ac:dyDescent="0.3">
      <c r="D40" s="52" t="s">
        <v>144</v>
      </c>
      <c r="E40" s="60">
        <f>SUM(E33:E38)</f>
        <v>255450</v>
      </c>
      <c r="F40" s="60"/>
      <c r="G40" s="84">
        <f>SUM(G33:G39)</f>
        <v>1950</v>
      </c>
      <c r="H40" s="52"/>
      <c r="I40" s="170">
        <f>SUM(I33:I39)</f>
        <v>456300</v>
      </c>
      <c r="J40" s="170"/>
      <c r="K40" s="52" t="s">
        <v>174</v>
      </c>
      <c r="L40" s="137">
        <f>SUM(L33:L39)</f>
        <v>334000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31.93%</v>
      </c>
      <c r="F41" s="15"/>
      <c r="G41" s="58"/>
      <c r="H41" s="15"/>
      <c r="I41" s="171"/>
      <c r="J41" s="171"/>
      <c r="K41" s="83" t="s">
        <v>175</v>
      </c>
      <c r="L41" s="105">
        <f>I40-L40</f>
        <v>122300</v>
      </c>
      <c r="M41" s="15"/>
    </row>
    <row r="42" spans="1:13" x14ac:dyDescent="0.3">
      <c r="C42" s="40"/>
      <c r="K42" s="68"/>
      <c r="L42" s="40"/>
    </row>
    <row r="43" spans="1:13" x14ac:dyDescent="0.3">
      <c r="A43" s="172" t="s">
        <v>288</v>
      </c>
      <c r="B43" s="172"/>
      <c r="C43" s="59">
        <v>450000</v>
      </c>
      <c r="D43" s="15">
        <v>131</v>
      </c>
      <c r="E43" s="131">
        <f>C43/D43</f>
        <v>3435.1145038167938</v>
      </c>
      <c r="F43" s="62">
        <v>235</v>
      </c>
      <c r="G43" s="101">
        <f>E43*F43</f>
        <v>807251.9083969465</v>
      </c>
      <c r="H43" s="15"/>
      <c r="I43" s="15"/>
      <c r="J43" s="5"/>
      <c r="K43" s="15"/>
      <c r="L43" s="15"/>
      <c r="M43" s="15"/>
    </row>
    <row r="44" spans="1:13" x14ac:dyDescent="0.3">
      <c r="A44" s="172" t="s">
        <v>288</v>
      </c>
      <c r="B44" s="172"/>
      <c r="C44" s="59">
        <v>100000</v>
      </c>
      <c r="D44" s="15">
        <v>97</v>
      </c>
      <c r="E44" s="131">
        <f>C44/D44</f>
        <v>1030.9278350515465</v>
      </c>
      <c r="F44" s="62">
        <v>265</v>
      </c>
      <c r="G44" s="101">
        <f>E44*F44</f>
        <v>273195.87628865981</v>
      </c>
      <c r="H44" s="15"/>
      <c r="I44" s="15"/>
      <c r="J44" s="5"/>
      <c r="K44" s="15"/>
      <c r="L44" s="15"/>
      <c r="M44" s="15"/>
    </row>
    <row r="45" spans="1:13" x14ac:dyDescent="0.3">
      <c r="G45" s="111">
        <f>G43+G44</f>
        <v>1080447.7846856064</v>
      </c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9:J39"/>
    <mergeCell ref="I40:J40"/>
    <mergeCell ref="I41:J41"/>
    <mergeCell ref="A43:B43"/>
    <mergeCell ref="A44:B44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K6">
    <cfRule type="duplicateValues" dxfId="3" priority="2"/>
  </conditionalFormatting>
  <conditionalFormatting sqref="K7:K22">
    <cfRule type="duplicateValues" dxfId="2" priority="5"/>
  </conditionalFormatting>
  <conditionalFormatting sqref="L5:L22">
    <cfRule type="duplicateValues" dxfId="1" priority="6"/>
  </conditionalFormatting>
  <conditionalFormatting sqref="K5">
    <cfRule type="duplicateValues" dxfId="0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2" activePane="bottomLeft" state="frozen"/>
      <selection pane="bottomLeft" activeCell="T1" sqref="T1"/>
    </sheetView>
  </sheetViews>
  <sheetFormatPr defaultRowHeight="14.4" x14ac:dyDescent="0.3"/>
  <cols>
    <col min="1" max="1" width="3.5546875" style="87" customWidth="1"/>
    <col min="2" max="2" width="18.5546875" style="129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90" t="s">
        <v>0</v>
      </c>
      <c r="B1" s="127" t="s">
        <v>326</v>
      </c>
      <c r="C1" s="91" t="s">
        <v>182</v>
      </c>
      <c r="D1" s="95" t="s">
        <v>36</v>
      </c>
      <c r="E1" s="94" t="s">
        <v>117</v>
      </c>
      <c r="F1" s="92" t="s">
        <v>116</v>
      </c>
      <c r="G1" s="92" t="s">
        <v>88</v>
      </c>
      <c r="H1" s="142" t="s">
        <v>100</v>
      </c>
      <c r="I1" s="185" t="s">
        <v>206</v>
      </c>
      <c r="J1" s="185"/>
      <c r="K1" s="185"/>
      <c r="L1" s="185"/>
      <c r="M1" s="186"/>
      <c r="N1" s="182" t="str">
        <f ca="1">DATEDIF(T1,TODAY(),"y")&amp;" year, "&amp;DATEDIF(T1,TODAY(),"ym")&amp;" months, "&amp;TODAY()-DATE(YEAR(TODAY()),MONTH(TODAY()),1)&amp;" days"</f>
        <v>3 year, 0 months, 19 days</v>
      </c>
      <c r="O1" s="183"/>
      <c r="P1" s="183"/>
      <c r="Q1" s="183"/>
      <c r="R1" s="184"/>
      <c r="S1" s="8" t="s">
        <v>205</v>
      </c>
      <c r="T1" s="104">
        <v>45023</v>
      </c>
      <c r="U1" s="8"/>
      <c r="V1" s="8"/>
    </row>
    <row r="2" spans="1:22" x14ac:dyDescent="0.3">
      <c r="A2" s="88">
        <v>1</v>
      </c>
      <c r="B2" s="128" t="str">
        <f>'Term-1'!$B$1</f>
        <v>May2023 - Sept2023</v>
      </c>
      <c r="C2" s="8" t="s">
        <v>183</v>
      </c>
      <c r="D2" s="96">
        <f>IF(F2="","",E2-F2)</f>
        <v>-782674</v>
      </c>
      <c r="E2" s="89">
        <f>'Term-1'!$M$2</f>
        <v>1268250</v>
      </c>
      <c r="F2" s="89">
        <f>'Term-1'!$E$2</f>
        <v>2050924</v>
      </c>
      <c r="G2" s="143">
        <f>MIN('Term-1'!H5:H11)</f>
        <v>80</v>
      </c>
      <c r="H2" s="141" t="str" cm="1">
        <f t="array" ref="H2:I2">'Term-1'!H2:I2</f>
        <v>75 days</v>
      </c>
      <c r="I2">
        <v>0</v>
      </c>
    </row>
    <row r="3" spans="1:22" x14ac:dyDescent="0.3">
      <c r="A3" s="88">
        <v>2</v>
      </c>
      <c r="B3" s="128" t="str">
        <f>'Term-2'!$B$1</f>
        <v>Sept2023 - Nov2023</v>
      </c>
      <c r="C3" s="8" t="s">
        <v>184</v>
      </c>
      <c r="D3" s="96">
        <f t="shared" ref="D3:D7" si="0">IF(F3="","",E3-F3)</f>
        <v>-218110</v>
      </c>
      <c r="E3" s="89">
        <f>'Term-2'!$M$2</f>
        <v>300000</v>
      </c>
      <c r="F3" s="89">
        <f>'Term-2'!$E$2</f>
        <v>518110</v>
      </c>
      <c r="G3" s="143">
        <f>MIN('Term-2'!H5:H11)</f>
        <v>325</v>
      </c>
      <c r="H3" s="141" t="str" cm="1">
        <f t="array" ref="H3:I3">'Term-2'!H2:I2</f>
        <v>27 days</v>
      </c>
      <c r="I3">
        <v>0</v>
      </c>
    </row>
    <row r="4" spans="1:22" x14ac:dyDescent="0.3">
      <c r="A4" s="88">
        <v>3</v>
      </c>
      <c r="B4" s="128" t="str">
        <f>'Term-3'!$B$1</f>
        <v>Nov2023 - Jan2024</v>
      </c>
      <c r="C4" s="8" t="s">
        <v>185</v>
      </c>
      <c r="D4" s="96">
        <f t="shared" si="0"/>
        <v>-470000</v>
      </c>
      <c r="E4" s="89">
        <f>'Term-3'!$M$2</f>
        <v>120000</v>
      </c>
      <c r="F4" s="89">
        <f>'Term-3'!$E$2</f>
        <v>590000</v>
      </c>
      <c r="G4" s="143">
        <f>MIN('Term-3'!H5:H11)</f>
        <v>325</v>
      </c>
      <c r="H4" s="141" t="str" cm="1">
        <f t="array" ref="H4:I4">'Term-3'!H2:I2</f>
        <v>37 days</v>
      </c>
      <c r="I4">
        <v>0</v>
      </c>
    </row>
    <row r="5" spans="1:22" x14ac:dyDescent="0.3">
      <c r="A5" s="88">
        <v>4</v>
      </c>
      <c r="B5" s="128" t="str">
        <f>'Term-4'!$B$1</f>
        <v>Feb2024 - May2024</v>
      </c>
      <c r="C5" s="8" t="s">
        <v>186</v>
      </c>
      <c r="D5" s="96">
        <f t="shared" si="0"/>
        <v>1098545</v>
      </c>
      <c r="E5" s="89">
        <f>'Term-4'!$M$2</f>
        <v>2700044</v>
      </c>
      <c r="F5" s="89">
        <f>'Term-4'!$E$2</f>
        <v>1601499</v>
      </c>
      <c r="G5" s="143">
        <f>MIN('Term-4'!H5:H11)</f>
        <v>62</v>
      </c>
      <c r="H5" s="141" t="str" cm="1">
        <f t="array" ref="H5:I5">'Term-4'!H2:I2</f>
        <v>72 days</v>
      </c>
      <c r="I5">
        <v>0</v>
      </c>
    </row>
    <row r="6" spans="1:22" x14ac:dyDescent="0.3">
      <c r="A6" s="88">
        <v>5</v>
      </c>
      <c r="B6" s="128" t="str">
        <f>'Term-5'!$B$1</f>
        <v>July 2024 - Sept2024</v>
      </c>
      <c r="C6" s="8" t="s">
        <v>187</v>
      </c>
      <c r="D6" s="96">
        <f t="shared" si="0"/>
        <v>391120</v>
      </c>
      <c r="E6" s="89">
        <f>'Term-5'!$M$2</f>
        <v>1612322</v>
      </c>
      <c r="F6" s="89">
        <f>'Term-5'!$E$2</f>
        <v>1221202</v>
      </c>
      <c r="G6" s="143">
        <f>MIN('Term-5'!H5:H11)</f>
        <v>110</v>
      </c>
      <c r="H6" s="141" t="str" cm="1">
        <f t="array" ref="H6:I6">'Term-5'!H2:I2</f>
        <v>58 days</v>
      </c>
      <c r="I6">
        <v>0</v>
      </c>
    </row>
    <row r="7" spans="1:22" x14ac:dyDescent="0.3">
      <c r="A7" s="88">
        <v>6</v>
      </c>
      <c r="B7" s="128" t="str">
        <f>'Term-6'!$B$1</f>
        <v>Sep2024 - Nov2024</v>
      </c>
      <c r="C7" s="8" t="s">
        <v>188</v>
      </c>
      <c r="D7" s="96">
        <f t="shared" si="0"/>
        <v>1002304</v>
      </c>
      <c r="E7" s="89">
        <f>'Term-6'!$M$2</f>
        <v>2415103</v>
      </c>
      <c r="F7" s="89">
        <f>'Term-6'!$E$2</f>
        <v>1412799</v>
      </c>
      <c r="G7" s="143">
        <f>MIN('Term-6'!H5:H11)</f>
        <v>65</v>
      </c>
      <c r="H7" s="141" t="str" cm="1">
        <f t="array" ref="H7:I7">'Term-6'!H2:I2</f>
        <v>73 days</v>
      </c>
      <c r="I7">
        <v>0</v>
      </c>
    </row>
    <row r="8" spans="1:22" x14ac:dyDescent="0.3">
      <c r="A8" s="88">
        <v>7</v>
      </c>
      <c r="B8" s="128" t="str">
        <f>'Term-7'!$B$1</f>
        <v>Dec2024 - Feb2025</v>
      </c>
      <c r="C8" s="8" t="s">
        <v>203</v>
      </c>
      <c r="D8" s="96">
        <f t="shared" ref="D8:D10" si="1">IF(F8="","",E8-F8)</f>
        <v>528979</v>
      </c>
      <c r="E8" s="89">
        <f>'Term-7'!$M$2</f>
        <v>2031828</v>
      </c>
      <c r="F8" s="89">
        <f>'Term-7'!$E$2</f>
        <v>1502849</v>
      </c>
      <c r="G8" s="143">
        <f>MIN('Term-7'!H5:H11)</f>
        <v>97</v>
      </c>
      <c r="H8" s="141" t="str" cm="1">
        <f t="array" ref="H8:I8">'Term-7'!H2:I2</f>
        <v>79 days</v>
      </c>
      <c r="I8">
        <v>0</v>
      </c>
    </row>
    <row r="9" spans="1:22" x14ac:dyDescent="0.3">
      <c r="A9" s="88">
        <v>8</v>
      </c>
      <c r="B9" s="128" t="str">
        <f>'Term-8'!$B$1</f>
        <v>Feb2025 - May2025</v>
      </c>
      <c r="C9" s="8" t="s">
        <v>243</v>
      </c>
      <c r="D9" s="96">
        <f t="shared" si="1"/>
        <v>405496</v>
      </c>
      <c r="E9" s="89">
        <f>'Term-8'!$M$2</f>
        <v>1791690</v>
      </c>
      <c r="F9" s="89">
        <f>'Term-8'!$E$2</f>
        <v>1386194</v>
      </c>
      <c r="G9" s="143">
        <f>MIN('Term-8'!H5:H11)</f>
        <v>67</v>
      </c>
      <c r="H9" s="141" t="str" cm="1">
        <f t="array" ref="H9:I9">'Term-8'!H2:I2</f>
        <v>78 days</v>
      </c>
      <c r="I9">
        <v>0</v>
      </c>
    </row>
    <row r="10" spans="1:22" x14ac:dyDescent="0.3">
      <c r="A10" s="88">
        <v>9</v>
      </c>
      <c r="B10" s="128" t="str">
        <f>'Term-9'!$A$1</f>
        <v>July2025 - Sept2025</v>
      </c>
      <c r="C10" s="8" t="s">
        <v>258</v>
      </c>
      <c r="D10" s="96">
        <f t="shared" si="1"/>
        <v>1125929.5</v>
      </c>
      <c r="E10" s="89">
        <f>'Term-9'!$L$2</f>
        <v>2535929.5</v>
      </c>
      <c r="F10" s="89">
        <f>'Term-9'!$D$2</f>
        <v>1410000</v>
      </c>
      <c r="G10" s="143">
        <f>MIN('Term-9'!G5:G13)</f>
        <v>78</v>
      </c>
      <c r="H10" s="141" t="str" cm="1">
        <f t="array" ref="H10:I10">'Term-9'!G2:H2</f>
        <v>62 days</v>
      </c>
      <c r="I10">
        <v>0</v>
      </c>
    </row>
    <row r="11" spans="1:22" x14ac:dyDescent="0.3">
      <c r="A11" s="88">
        <v>10</v>
      </c>
      <c r="B11" s="128" t="str">
        <f>'Term-10'!$A$1</f>
        <v>Sept2025 - Dec2025</v>
      </c>
      <c r="C11" s="8" t="s">
        <v>289</v>
      </c>
      <c r="D11" s="96">
        <f t="shared" ref="D11" si="2">IF(F11="","",E11-F11)</f>
        <v>979350</v>
      </c>
      <c r="E11" s="89">
        <f>'Term-10'!$L$2</f>
        <v>2530350</v>
      </c>
      <c r="F11" s="89">
        <f>'Term-10'!$D$2</f>
        <v>1551000</v>
      </c>
      <c r="G11" s="143">
        <f>MIN('Term-10'!G5:G13)</f>
        <v>58</v>
      </c>
      <c r="H11" s="141" t="str" cm="1">
        <f t="array" ref="H11:I11">'Term-10'!G2:H2</f>
        <v>78 days</v>
      </c>
      <c r="I11">
        <v>0</v>
      </c>
    </row>
    <row r="12" spans="1:22" x14ac:dyDescent="0.3">
      <c r="A12" s="88">
        <v>11</v>
      </c>
      <c r="B12" s="128" t="str">
        <f>'Term-11'!$A$1</f>
        <v>Dec2025 - Jan2026</v>
      </c>
      <c r="C12" s="8" t="s">
        <v>314</v>
      </c>
      <c r="D12" s="96">
        <f t="shared" ref="D12" si="3">IF(F12="","",E12-F12)</f>
        <v>-469722.5</v>
      </c>
      <c r="E12" s="89">
        <f>'Term-11'!$L$2</f>
        <v>115277.5</v>
      </c>
      <c r="F12" s="89">
        <f>'Term-11'!$D$2</f>
        <v>585000</v>
      </c>
      <c r="G12" s="143">
        <f>MIN('Term-11'!G5:G13)</f>
        <v>518</v>
      </c>
      <c r="H12" s="141" t="str" cm="1">
        <f t="array" ref="H12:I12">'Term-11'!G2:H2</f>
        <v>34 days</v>
      </c>
      <c r="I12">
        <v>0</v>
      </c>
    </row>
    <row r="13" spans="1:22" x14ac:dyDescent="0.3">
      <c r="A13" s="88">
        <v>12</v>
      </c>
      <c r="B13" s="128" t="str">
        <f>'Term-11'!$A$1</f>
        <v>Dec2025 - Jan2026</v>
      </c>
      <c r="C13" s="8" t="s">
        <v>340</v>
      </c>
      <c r="D13" s="96">
        <f t="shared" ref="D13" si="4">IF(F13="","",E13-F13)</f>
        <v>-920795</v>
      </c>
      <c r="E13" s="89">
        <f>'Term-12'!$L$2</f>
        <v>458250</v>
      </c>
      <c r="F13" s="89">
        <f>'Term-12'!$D$2</f>
        <v>1379045</v>
      </c>
      <c r="G13" s="143">
        <f>MIN('Term-12'!G6:G14)</f>
        <v>131</v>
      </c>
      <c r="H13" s="141" cm="1">
        <f t="array" ref="H13:I13">'Term-12'!G3:H3</f>
        <v>0</v>
      </c>
      <c r="I13">
        <v>0</v>
      </c>
    </row>
    <row r="14" spans="1:22" x14ac:dyDescent="0.3">
      <c r="A14" s="88">
        <v>13</v>
      </c>
      <c r="B14" s="128"/>
      <c r="C14" s="8"/>
      <c r="D14" s="96"/>
      <c r="E14" s="89"/>
      <c r="F14" s="89"/>
      <c r="G14" s="143"/>
      <c r="H14" s="141"/>
    </row>
    <row r="15" spans="1:22" x14ac:dyDescent="0.3">
      <c r="A15" s="88">
        <v>14</v>
      </c>
      <c r="B15" s="128"/>
      <c r="C15" s="8"/>
      <c r="D15" s="96"/>
      <c r="E15" s="89"/>
      <c r="F15" s="89"/>
      <c r="G15" s="143"/>
      <c r="H15" s="141"/>
    </row>
    <row r="16" spans="1:22" x14ac:dyDescent="0.3">
      <c r="A16" s="88">
        <v>15</v>
      </c>
      <c r="B16" s="128"/>
      <c r="C16" s="8"/>
      <c r="D16" s="96"/>
      <c r="E16" s="89"/>
      <c r="F16" s="89"/>
      <c r="G16" s="143"/>
      <c r="H16" s="141"/>
    </row>
    <row r="17" spans="1:8" x14ac:dyDescent="0.3">
      <c r="A17" s="88">
        <v>16</v>
      </c>
      <c r="B17" s="128"/>
      <c r="C17" s="8"/>
      <c r="D17" s="96"/>
      <c r="E17" s="89"/>
      <c r="F17" s="89"/>
      <c r="G17" s="143"/>
      <c r="H17" s="141"/>
    </row>
    <row r="18" spans="1:8" x14ac:dyDescent="0.3">
      <c r="A18" s="88">
        <v>17</v>
      </c>
      <c r="B18" s="128"/>
      <c r="C18" s="8"/>
      <c r="D18" s="96"/>
      <c r="E18" s="89"/>
      <c r="F18" s="108"/>
      <c r="G18" s="143"/>
      <c r="H18" s="88"/>
    </row>
    <row r="19" spans="1:8" x14ac:dyDescent="0.3">
      <c r="A19" s="88">
        <v>18</v>
      </c>
      <c r="B19" s="128"/>
      <c r="C19" s="8"/>
      <c r="D19" s="96"/>
      <c r="E19" s="89"/>
      <c r="F19" s="89"/>
      <c r="G19" s="143"/>
      <c r="H19" s="141"/>
    </row>
    <row r="20" spans="1:8" x14ac:dyDescent="0.3">
      <c r="A20" s="88">
        <v>19</v>
      </c>
      <c r="B20" s="128"/>
      <c r="C20" s="8"/>
      <c r="D20" s="96"/>
      <c r="E20" s="89"/>
      <c r="F20" s="89"/>
      <c r="G20" s="143"/>
      <c r="H20" s="141"/>
    </row>
    <row r="21" spans="1:8" x14ac:dyDescent="0.3">
      <c r="A21" s="88">
        <v>20</v>
      </c>
      <c r="B21" s="128"/>
      <c r="C21" s="8"/>
      <c r="D21" s="96"/>
      <c r="E21" s="89"/>
      <c r="F21" s="89"/>
      <c r="G21" s="143"/>
      <c r="H21" s="141"/>
    </row>
    <row r="22" spans="1:8" x14ac:dyDescent="0.3">
      <c r="A22" s="88">
        <v>21</v>
      </c>
      <c r="B22" s="128"/>
      <c r="C22" s="8"/>
      <c r="D22" s="96"/>
      <c r="E22" s="89"/>
      <c r="F22" s="89"/>
      <c r="G22" s="143"/>
      <c r="H22" s="141"/>
    </row>
    <row r="23" spans="1:8" x14ac:dyDescent="0.3">
      <c r="A23" s="88">
        <v>22</v>
      </c>
      <c r="B23" s="128"/>
      <c r="C23" s="8"/>
      <c r="D23" s="96"/>
      <c r="E23" s="89"/>
      <c r="F23" s="89"/>
      <c r="G23" s="143"/>
      <c r="H23" s="141"/>
    </row>
    <row r="24" spans="1:8" x14ac:dyDescent="0.3">
      <c r="A24" s="88">
        <v>23</v>
      </c>
      <c r="B24" s="128"/>
      <c r="C24" s="8"/>
      <c r="D24" s="96"/>
      <c r="E24" s="89"/>
      <c r="F24" s="89"/>
      <c r="G24" s="143"/>
      <c r="H24" s="141"/>
    </row>
    <row r="25" spans="1:8" x14ac:dyDescent="0.3">
      <c r="A25" s="179" t="s">
        <v>189</v>
      </c>
      <c r="B25" s="180"/>
      <c r="C25" s="181"/>
      <c r="D25" s="9">
        <f>SUM(D2:D24)</f>
        <v>2670422</v>
      </c>
      <c r="E25" s="89">
        <f>SUM(E2:E24)</f>
        <v>17879044</v>
      </c>
      <c r="F25" s="89">
        <f>SUM(F2:F24)</f>
        <v>15208622</v>
      </c>
      <c r="G25" s="143"/>
      <c r="H25" s="89"/>
    </row>
    <row r="27" spans="1:8" x14ac:dyDescent="0.3">
      <c r="B27" s="138" t="s">
        <v>323</v>
      </c>
    </row>
    <row r="28" spans="1:8" x14ac:dyDescent="0.3">
      <c r="A28" s="90" t="s">
        <v>0</v>
      </c>
      <c r="B28" s="91" t="s">
        <v>324</v>
      </c>
      <c r="C28" s="95" t="s">
        <v>325</v>
      </c>
      <c r="D28" s="94" t="s">
        <v>36</v>
      </c>
    </row>
    <row r="29" spans="1:8" x14ac:dyDescent="0.3">
      <c r="A29" s="88">
        <v>1</v>
      </c>
      <c r="B29" s="128">
        <v>2023</v>
      </c>
      <c r="C29" s="108">
        <f>COUNTIF(C2:C4, "*")</f>
        <v>3</v>
      </c>
      <c r="D29" s="89">
        <f>SUM(D2:D4)</f>
        <v>-1470784</v>
      </c>
    </row>
    <row r="30" spans="1:8" x14ac:dyDescent="0.3">
      <c r="A30" s="88">
        <v>2</v>
      </c>
      <c r="B30" s="128">
        <v>2024</v>
      </c>
      <c r="C30" s="108">
        <f>COUNTIF(C4:C7, "*")</f>
        <v>4</v>
      </c>
      <c r="D30" s="89">
        <f>SUM(D5:D7)</f>
        <v>2491969</v>
      </c>
    </row>
    <row r="31" spans="1:8" x14ac:dyDescent="0.3">
      <c r="A31" s="88">
        <v>3</v>
      </c>
      <c r="B31" s="128">
        <v>2025</v>
      </c>
      <c r="C31" s="108">
        <f>COUNTIF(C8:C11, "*")</f>
        <v>4</v>
      </c>
      <c r="D31" s="89">
        <f>SUM(D8:D11)</f>
        <v>3039754.5</v>
      </c>
    </row>
    <row r="32" spans="1:8" x14ac:dyDescent="0.3">
      <c r="A32" s="88">
        <v>4</v>
      </c>
      <c r="B32" s="128">
        <v>2026</v>
      </c>
      <c r="C32" s="108">
        <f>COUNTIF(C12:C15, "*")</f>
        <v>2</v>
      </c>
      <c r="D32" s="89">
        <f>SUM(D12:D15)</f>
        <v>-1390517.5</v>
      </c>
    </row>
    <row r="33" spans="1:4" x14ac:dyDescent="0.3">
      <c r="A33" s="88">
        <v>5</v>
      </c>
      <c r="B33" s="128">
        <v>2027</v>
      </c>
      <c r="C33" s="108"/>
      <c r="D33" s="108"/>
    </row>
    <row r="34" spans="1:4" x14ac:dyDescent="0.3">
      <c r="A34" s="88">
        <v>6</v>
      </c>
      <c r="B34" s="128">
        <v>2028</v>
      </c>
      <c r="C34" s="108"/>
      <c r="D34" s="108"/>
    </row>
    <row r="35" spans="1:4" x14ac:dyDescent="0.3">
      <c r="A35" s="139"/>
      <c r="B35" s="140"/>
      <c r="C35" s="8" t="s">
        <v>144</v>
      </c>
      <c r="D35" s="9">
        <f>SUM(D29:D34)</f>
        <v>2670422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7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6" t="s">
        <v>0</v>
      </c>
      <c r="B1" s="107" t="s">
        <v>211</v>
      </c>
      <c r="C1" s="107" t="s">
        <v>212</v>
      </c>
      <c r="D1" s="107" t="s">
        <v>213</v>
      </c>
    </row>
    <row r="2" spans="1:14" x14ac:dyDescent="0.3">
      <c r="A2" s="88">
        <v>1</v>
      </c>
      <c r="B2" s="108" t="s">
        <v>209</v>
      </c>
      <c r="C2" s="108" t="s">
        <v>208</v>
      </c>
      <c r="D2" s="108" t="s">
        <v>210</v>
      </c>
    </row>
    <row r="3" spans="1:14" x14ac:dyDescent="0.3">
      <c r="A3" s="88"/>
      <c r="B3" s="108" t="s">
        <v>298</v>
      </c>
      <c r="C3" s="108" t="s">
        <v>299</v>
      </c>
      <c r="D3" s="108" t="s">
        <v>303</v>
      </c>
      <c r="E3" s="134" t="s">
        <v>302</v>
      </c>
      <c r="G3" s="117"/>
      <c r="H3" s="117"/>
      <c r="I3" s="117"/>
      <c r="J3" s="117"/>
    </row>
    <row r="4" spans="1:14" x14ac:dyDescent="0.3">
      <c r="A4" s="88"/>
      <c r="B4" s="108" t="s">
        <v>300</v>
      </c>
      <c r="C4" s="108"/>
      <c r="D4" s="108" t="s">
        <v>301</v>
      </c>
      <c r="G4" s="117"/>
      <c r="H4" s="117"/>
      <c r="I4" s="117"/>
      <c r="J4" s="117"/>
    </row>
    <row r="5" spans="1:14" x14ac:dyDescent="0.3">
      <c r="A5" s="88"/>
      <c r="B5" s="108" t="s">
        <v>304</v>
      </c>
      <c r="C5" s="108"/>
      <c r="D5" s="108" t="s">
        <v>305</v>
      </c>
      <c r="G5" s="117"/>
      <c r="H5" s="117"/>
      <c r="I5" s="117"/>
      <c r="J5" s="117"/>
    </row>
    <row r="6" spans="1:14" x14ac:dyDescent="0.3">
      <c r="A6" s="88"/>
      <c r="B6" s="108"/>
      <c r="C6" s="108"/>
      <c r="D6" s="108"/>
      <c r="G6" s="117"/>
      <c r="H6" s="117"/>
      <c r="I6" s="117"/>
      <c r="J6" s="117"/>
      <c r="L6" s="117"/>
    </row>
    <row r="7" spans="1:14" x14ac:dyDescent="0.3">
      <c r="A7" s="88"/>
      <c r="B7" s="108"/>
      <c r="C7" s="108"/>
      <c r="D7" s="108"/>
      <c r="G7" s="117"/>
      <c r="H7" s="117"/>
      <c r="I7" s="117"/>
      <c r="J7" s="117"/>
      <c r="L7" s="117"/>
    </row>
    <row r="8" spans="1:14" x14ac:dyDescent="0.3">
      <c r="A8" s="88"/>
      <c r="B8" s="108"/>
      <c r="C8" s="108"/>
      <c r="D8" s="108"/>
      <c r="G8" s="117"/>
      <c r="H8" s="117"/>
      <c r="I8" s="117"/>
      <c r="J8" s="117"/>
    </row>
    <row r="9" spans="1:14" x14ac:dyDescent="0.3">
      <c r="A9" s="88"/>
      <c r="B9" s="108"/>
      <c r="C9" s="108"/>
      <c r="D9" s="108"/>
      <c r="G9" s="118"/>
      <c r="H9" s="118"/>
      <c r="I9" s="118"/>
      <c r="J9" s="118"/>
      <c r="K9" s="118"/>
      <c r="L9" s="118"/>
    </row>
    <row r="10" spans="1:14" x14ac:dyDescent="0.3">
      <c r="A10" s="88"/>
      <c r="B10" s="108"/>
      <c r="C10" s="108"/>
      <c r="D10" s="108"/>
      <c r="H10" s="117"/>
    </row>
    <row r="11" spans="1:14" x14ac:dyDescent="0.3">
      <c r="A11" s="88"/>
      <c r="B11" s="108"/>
      <c r="C11" s="108"/>
      <c r="D11" s="108"/>
      <c r="H11" s="117"/>
    </row>
    <row r="12" spans="1:14" x14ac:dyDescent="0.3">
      <c r="A12" s="88"/>
      <c r="B12" s="108"/>
      <c r="C12" s="108"/>
      <c r="D12" s="108"/>
    </row>
    <row r="13" spans="1:14" x14ac:dyDescent="0.3">
      <c r="A13" s="88"/>
      <c r="B13" s="108"/>
      <c r="C13" s="108"/>
      <c r="D13" s="108"/>
    </row>
    <row r="14" spans="1:14" x14ac:dyDescent="0.3">
      <c r="A14" s="88"/>
      <c r="B14" s="108"/>
      <c r="C14" s="108"/>
      <c r="D14" s="108"/>
    </row>
    <row r="15" spans="1:14" x14ac:dyDescent="0.3">
      <c r="A15" s="88"/>
      <c r="B15" s="108"/>
      <c r="C15" s="108"/>
      <c r="D15" s="108"/>
      <c r="N15" s="116"/>
    </row>
    <row r="16" spans="1:14" x14ac:dyDescent="0.3">
      <c r="A16" s="88"/>
      <c r="B16" s="108"/>
      <c r="C16" s="108"/>
      <c r="D16" s="108"/>
      <c r="F16" s="118"/>
    </row>
    <row r="17" spans="1:6" x14ac:dyDescent="0.3">
      <c r="A17" s="88"/>
      <c r="B17" s="108"/>
      <c r="C17" s="108"/>
      <c r="D17" s="108"/>
      <c r="F17" s="117"/>
    </row>
    <row r="18" spans="1:6" x14ac:dyDescent="0.3">
      <c r="A18" s="88"/>
      <c r="B18" s="108"/>
      <c r="C18" s="108"/>
      <c r="D18" s="108"/>
    </row>
    <row r="19" spans="1:6" x14ac:dyDescent="0.3">
      <c r="A19" s="88"/>
      <c r="B19" s="108"/>
      <c r="C19" s="108"/>
      <c r="D19" s="108"/>
      <c r="F19" s="118"/>
    </row>
    <row r="20" spans="1:6" x14ac:dyDescent="0.3">
      <c r="A20" s="88"/>
      <c r="B20" s="108"/>
      <c r="C20" s="108"/>
      <c r="D20" s="108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2026-04-20T04:48:02Z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