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filterPrivacy="1" codeName="ThisWorkbook" defaultThemeVersion="124226"/>
  <xr:revisionPtr revIDLastSave="0" documentId="13_ncr:1_{9FA952C6-E74B-495B-B9C3-3C78105E10BC}" xr6:coauthVersionLast="47" xr6:coauthVersionMax="47" xr10:uidLastSave="{00000000-0000-0000-0000-000000000000}"/>
  <bookViews>
    <workbookView xWindow="-108" yWindow="-108" windowWidth="23256" windowHeight="12456" tabRatio="706" firstSheet="1" activeTab="11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Summary" sheetId="12" r:id="rId13"/>
    <sheet name="Not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0" l="1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G16" i="19"/>
  <c r="G2" i="19"/>
  <c r="H5" i="18"/>
  <c r="G12" i="12"/>
  <c r="E31" i="19"/>
  <c r="H13" i="12" a="1"/>
  <c r="H13" i="12" s="1"/>
  <c r="G13" i="12"/>
  <c r="E13" i="12"/>
  <c r="B13" i="12"/>
  <c r="E44" i="19"/>
  <c r="G44" i="19" s="1"/>
  <c r="E43" i="19"/>
  <c r="G43" i="19" s="1"/>
  <c r="L40" i="19"/>
  <c r="G40" i="19"/>
  <c r="I39" i="19"/>
  <c r="E39" i="19"/>
  <c r="I38" i="19"/>
  <c r="E38" i="19"/>
  <c r="I37" i="19"/>
  <c r="E37" i="19"/>
  <c r="I36" i="19"/>
  <c r="E36" i="19"/>
  <c r="I35" i="19"/>
  <c r="E35" i="19"/>
  <c r="I34" i="19"/>
  <c r="E34" i="19"/>
  <c r="I33" i="19"/>
  <c r="I40" i="19" s="1"/>
  <c r="E33" i="19"/>
  <c r="E40" i="19" s="1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D2" i="19"/>
  <c r="F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32" i="12"/>
  <c r="C31" i="12"/>
  <c r="C30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L41" i="19" l="1"/>
  <c r="G45" i="19"/>
  <c r="L41" i="18"/>
  <c r="E41" i="19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<sst xmlns="http://schemas.openxmlformats.org/spreadsheetml/2006/main" count="906" uniqueCount="359">
  <si>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</si>
  <si>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</si>
  <si>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</si>
  <si>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</si>
  <si>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</si>
  <si>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</si>
  <si>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</si>
  <si>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</si>
  <si>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</si>
  <si>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</si>
  <si>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</si>
  <si>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</si>
  <si>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</si>
  <si>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</si>
  <si>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</si>
  <si>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</si>
  <si>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</si>
  <si>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</si>
  <si>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</si>
  <si>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</si>
  <si>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</si>
  <si>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</si>
  <si>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</si>
  <si>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</si>
  <si>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</si>
  <si>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</si>
  <si>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</si>
  <si>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</si>
  <si>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</si>
  <si>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</si>
  <si>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</si>
  <si>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</si>
  <si>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</si>
  <si>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</si>
  <si>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</si>
  <si>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</si>
  <si>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</si>
  <si>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</si>
  <si>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</si>
  <si>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</si>
  <si>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</si>
  <si>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</si>
  <si>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</si>
  <si>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</si>
  <si>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</si>
  <si>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</si>
  <si>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</si>
  <si>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</si>
  <si>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</si>
  <si>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</si>
  <si>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</si>
  <si>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</si>
  <si>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</si>
  <si>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</si>
  <si>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</si>
  <si>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</si>
  <si>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</si>
  <si>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</si>
  <si>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</si>
  <si>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</si>
  <si>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</si>
  <si>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</si>
  <si>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</si>
  <si>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</si>
  <si>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</si>
  <si>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</si>
  <si>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</si>
  <si>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</si>
  <si>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</si>
  <si>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</si>
  <si>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</si>
  <si>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</si>
  <si>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</si>
  <si>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</si>
  <si>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</si>
  <si>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</si>
  <si>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</si>
  <si>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</si>
  <si>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</si>
  <si>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</si>
  <si>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</si>
  <si>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</si>
  <si>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</si>
  <si>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</si>
  <si>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</si>
  <si>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</si>
  <si>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</si>
  <si>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</si>
  <si>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</si>
  <si>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</si>
  <si>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</si>
  <si>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</si>
  <si>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</si>
  <si>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</si>
  <si>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</si>
  <si>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</si>
  <si>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</si>
  <si>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</si>
  <si>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</si>
  <si>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</si>
  <si>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</si>
  <si>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</si>
  <si>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</si>
  <si>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</si>
  <si>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</si>
  <si>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</si>
  <si>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</si>
  <si>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</si>
  <si>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</si>
  <si>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</si>
  <si>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</si>
  <si>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</si>
  <si>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</si>
  <si>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</si>
  <si>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</si>
  <si>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</si>
  <si>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</si>
  <si>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</si>
  <si>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</si>
  <si>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</si>
  <si>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</si>
  <si>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</si>
  <si>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</si>
  <si>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</si>
  <si>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</si>
  <si>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</si>
  <si>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</si>
  <si>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</si>
  <si>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</si>
  <si>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</si>
  <si>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</si>
  <si>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</si>
  <si>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</si>
  <si>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</si>
  <si>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</si>
  <si>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</si>
  <si>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</si>
  <si>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</si>
  <si>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</si>
  <si>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</si>
  <si>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</si>
  <si>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</si>
  <si>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</si>
  <si>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</si>
  <si>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</si>
  <si>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</si>
  <si>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</si>
  <si>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</si>
  <si>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</si>
  <si>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</si>
  <si>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</si>
  <si>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</si>
  <si>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</si>
  <si>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</si>
  <si>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</si>
  <si>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</si>
  <si>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</si>
  <si>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</si>
  <si>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</si>
  <si>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</si>
  <si>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</si>
  <si>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</si>
  <si>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</si>
  <si>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</si>
  <si>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</si>
  <si>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</si>
  <si>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</si>
  <si>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</si>
  <si>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</si>
  <si>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</si>
  <si>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</si>
  <si>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</si>
  <si>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</si>
  <si>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</si>
  <si>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</si>
  <si>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</si>
  <si>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</si>
  <si>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</si>
  <si>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</si>
  <si>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</si>
  <si>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</si>
  <si>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</si>
  <si>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</si>
  <si>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</si>
  <si>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</si>
  <si>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</si>
  <si>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</si>
  <si>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</si>
  <si>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</si>
  <si>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</si>
  <si>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</si>
  <si>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</si>
  <si>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</si>
  <si>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</si>
  <si>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</si>
  <si>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</si>
  <si>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</si>
  <si>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</si>
  <si>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</si>
  <si>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</si>
  <si>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</si>
  <si>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</si>
  <si>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</si>
  <si>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</si>
  <si>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</si>
  <si>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</si>
  <si>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</si>
  <si>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</si>
  <si>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</si>
  <si>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</si>
  <si>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</si>
  <si>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</si>
  <si>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</si>
  <si>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</si>
  <si>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</si>
  <si>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</si>
  <si>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</si>
  <si>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</si>
  <si>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</si>
  <si>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</si>
  <si>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</si>
  <si>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</si>
  <si>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</si>
  <si>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</si>
  <si>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</si>
  <si>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</si>
  <si>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</si>
  <si>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</si>
  <si>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</si>
  <si>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</si>
  <si>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</si>
  <si>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</si>
  <si>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</si>
  <si>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</si>
  <si>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</si>
  <si>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</si>
  <si>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</si>
  <si>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</si>
  <si>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</si>
  <si>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</si>
  <si>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</si>
  <si>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</si>
  <si>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</si>
  <si>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</si>
  <si>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</si>
  <si>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</si>
  <si>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</si>
  <si>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</si>
  <si>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</si>
  <si>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</si>
  <si>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</si>
  <si>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</si>
  <si>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</si>
  <si>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</si>
  <si>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</si>
  <si>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</si>
  <si>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</si>
  <si>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</si>
  <si>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</si>
  <si>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</si>
  <si>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</si>
  <si>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</si>
  <si>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</si>
  <si>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</si>
  <si>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</si>
  <si>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</si>
  <si>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</si>
  <si>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</si>
  <si>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</si>
  <si>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</si>
  <si>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</si>
  <si>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</si>
  <si>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</si>
  <si>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</si>
  <si>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</si>
  <si>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</si>
  <si>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</si>
  <si>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</si>
  <si>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</si>
  <si>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</si>
  <si>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</si>
  <si>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</si>
  <si>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</si>
  <si>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</si>
  <si>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</si>
  <si>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</si>
  <si>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</si>
  <si>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</si>
  <si>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</si>
  <si>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</si>
  <si>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</si>
  <si>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</si>
  <si>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</si>
  <si>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</si>
  <si>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</si>
  <si>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</si>
  <si>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</si>
  <si>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</si>
  <si>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</si>
  <si>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</si>
  <si>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</si>
  <si>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</si>
  <si>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</si>
  <si>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</si>
  <si>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</si>
  <si>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</si>
  <si>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</si>
  <si>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</si>
  <si>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</si>
  <si>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</si>
  <si>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</si>
  <si>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</si>
  <si>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</si>
  <si>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</si>
  <si>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</si>
  <si>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</si>
  <si>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</si>
  <si>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</si>
  <si>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</si>
  <si>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</si>
  <si>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</si>
  <si>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</si>
  <si>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</si>
  <si>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</si>
  <si>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</si>
  <si>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</si>
  <si>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</si>
  <si>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</si>
  <si>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</si>
  <si>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</si>
  <si>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</si>
  <si>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</si>
  <si>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</si>
  <si>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</si>
  <si>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</si>
  <si>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</si>
  <si>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</si>
  <si>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</si>
  <si>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</si>
  <si>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</si>
  <si>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</si>
  <si>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</si>
  <si>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</si>
  <si>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</si>
  <si>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</si>
  <si>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</si>
  <si>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</si>
  <si>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</si>
  <si>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</si>
  <si>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</si>
  <si>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</si>
  <si>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</si>
  <si>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</si>
  <si>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</si>
  <si>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</si>
  <si>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</si>
  <si>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</si>
  <si>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10 tons so far</t>
  </si>
  <si>
    <t>Big Tank-1st Middle - 131C-234R-1950T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</si>
</sst>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7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6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-922745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2668472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-1392467.5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61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265</v>
      </c>
      <c r="C1" s="147"/>
      <c r="D1" s="147"/>
      <c r="E1" s="147"/>
      <c r="F1" s="148"/>
      <c r="G1" s="16" t="s">
        <v>87</v>
      </c>
      <c r="H1" s="149">
        <v>45076</v>
      </c>
      <c r="I1" s="150"/>
      <c r="J1" s="17" t="s">
        <v>36</v>
      </c>
      <c r="K1" s="151">
        <f>M2-E2</f>
        <v>-782674</v>
      </c>
      <c r="L1" s="152"/>
      <c r="M1" s="18"/>
      <c r="N1" s="19"/>
    </row>
    <row r="2" spans="1:14" ht="15.6" x14ac:dyDescent="0.3">
      <c r="A2" s="43">
        <f>SUM(A5:A105)</f>
        <v>473100</v>
      </c>
      <c r="B2" s="153"/>
      <c r="C2" s="154"/>
      <c r="D2" s="13" t="s">
        <v>32</v>
      </c>
      <c r="E2" s="12">
        <f>SUM(E5:E105)</f>
        <v>2050924</v>
      </c>
      <c r="F2" s="20"/>
      <c r="G2" s="32" t="s">
        <v>100</v>
      </c>
      <c r="H2" s="155" t="s">
        <v>327</v>
      </c>
      <c r="I2" s="156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5" t="s">
        <v>328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3" priority="8"/>
  </conditionalFormatting>
  <conditionalFormatting sqref="E5:E107">
    <cfRule type="duplicateValues" dxfId="62" priority="12"/>
  </conditionalFormatting>
  <conditionalFormatting sqref="K1:L1">
    <cfRule type="cellIs" dxfId="61" priority="6" operator="greaterThan">
      <formula>0</formula>
    </cfRule>
    <cfRule type="cellIs" dxfId="60" priority="7" operator="lessThan">
      <formula>0</formula>
    </cfRule>
  </conditionalFormatting>
  <conditionalFormatting sqref="L5:L51">
    <cfRule type="duplicateValues" dxfId="59" priority="4"/>
  </conditionalFormatting>
  <conditionalFormatting sqref="M5:M51">
    <cfRule type="duplicateValues" dxfId="58" priority="2"/>
  </conditionalFormatting>
  <conditionalFormatting sqref="S24:S26">
    <cfRule type="duplicateValues" dxfId="57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H14" sqref="H14:I14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266</v>
      </c>
      <c r="C1" s="147"/>
      <c r="D1" s="147"/>
      <c r="E1" s="147"/>
      <c r="F1" s="148"/>
      <c r="G1" s="16" t="s">
        <v>87</v>
      </c>
      <c r="H1" s="149">
        <v>45163</v>
      </c>
      <c r="I1" s="150"/>
      <c r="J1" s="17" t="s">
        <v>36</v>
      </c>
      <c r="K1" s="151">
        <f>M2-E2</f>
        <v>-218110</v>
      </c>
      <c r="L1" s="152"/>
      <c r="M1" s="18"/>
      <c r="N1" s="19"/>
    </row>
    <row r="2" spans="1:14" ht="15.6" x14ac:dyDescent="0.3">
      <c r="A2" s="43">
        <f>SUM(A5:A104)</f>
        <v>430300</v>
      </c>
      <c r="B2" s="153"/>
      <c r="C2" s="154"/>
      <c r="D2" s="13" t="s">
        <v>32</v>
      </c>
      <c r="E2" s="12">
        <f>SUM(E5:E104)</f>
        <v>518110</v>
      </c>
      <c r="F2" s="20"/>
      <c r="G2" s="32" t="s">
        <v>100</v>
      </c>
      <c r="H2" s="155" t="s">
        <v>353</v>
      </c>
      <c r="I2" s="156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49">
        <v>45163</v>
      </c>
      <c r="I13" s="1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5" t="s">
        <v>353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B3:F3"/>
    <mergeCell ref="G3:I3"/>
    <mergeCell ref="J3:N3"/>
    <mergeCell ref="B1:F1"/>
    <mergeCell ref="H1:I1"/>
    <mergeCell ref="K1:L1"/>
    <mergeCell ref="B2:C2"/>
    <mergeCell ref="H2:I2"/>
    <mergeCell ref="H4:I4"/>
    <mergeCell ref="G12:I12"/>
    <mergeCell ref="H14:I14"/>
    <mergeCell ref="G15:I15"/>
    <mergeCell ref="H16:I16"/>
    <mergeCell ref="H13:I13"/>
  </mergeCells>
  <conditionalFormatting sqref="D5:D106">
    <cfRule type="duplicateValues" dxfId="56" priority="6"/>
  </conditionalFormatting>
  <conditionalFormatting sqref="E5:E106">
    <cfRule type="duplicateValues" dxfId="55" priority="7"/>
  </conditionalFormatting>
  <conditionalFormatting sqref="K1:L1">
    <cfRule type="cellIs" dxfId="54" priority="4" operator="greaterThan">
      <formula>0</formula>
    </cfRule>
    <cfRule type="cellIs" dxfId="53" priority="5" operator="lessThan">
      <formula>0</formula>
    </cfRule>
  </conditionalFormatting>
  <conditionalFormatting sqref="L5:L51">
    <cfRule type="duplicateValues" dxfId="52" priority="3"/>
  </conditionalFormatting>
  <conditionalFormatting sqref="M5:M51">
    <cfRule type="duplicateValues" dxfId="51" priority="2"/>
  </conditionalFormatting>
  <conditionalFormatting sqref="S24:S26">
    <cfRule type="duplicateValues" dxfId="50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79" activePane="bottomRight" state="frozen"/>
      <selection pane="topRight" activeCell="M1" sqref="M1"/>
      <selection pane="bottomLeft" activeCell="A5" sqref="A5"/>
      <selection pane="bottomRight" activeCell="G15" sqref="G15:I15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267</v>
      </c>
      <c r="C1" s="147"/>
      <c r="D1" s="147"/>
      <c r="E1" s="147"/>
      <c r="F1" s="148"/>
      <c r="G1" s="16" t="s">
        <v>87</v>
      </c>
      <c r="H1" s="149">
        <v>45163</v>
      </c>
      <c r="I1" s="150"/>
      <c r="J1" s="17" t="s">
        <v>36</v>
      </c>
      <c r="K1" s="151">
        <f>M2-E2</f>
        <v>-470000</v>
      </c>
      <c r="L1" s="152"/>
      <c r="M1" s="18"/>
      <c r="N1" s="19"/>
    </row>
    <row r="2" spans="1:14" ht="15.6" x14ac:dyDescent="0.3">
      <c r="A2" s="43">
        <f>SUM(A5:A104)</f>
        <v>430300</v>
      </c>
      <c r="B2" s="153"/>
      <c r="C2" s="154"/>
      <c r="D2" s="13" t="s">
        <v>32</v>
      </c>
      <c r="E2" s="12">
        <f>SUM(E5:E104)</f>
        <v>590000</v>
      </c>
      <c r="F2" s="20"/>
      <c r="G2" s="32" t="s">
        <v>100</v>
      </c>
      <c r="H2" s="155" t="s">
        <v>354</v>
      </c>
      <c r="I2" s="156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45199</v>
      </c>
      <c r="H5" s="46">
        <v>325</v>
      </c>
      <c r="I5" s="49" t="str">
        <f>IF(ISBLANK(G5),"",CONCATENATE(G5-$H$1+1," days"))</f>
        <v>37 days</v>
      </c>
      <c r="J5" s="21">
        <v>1</v>
      </c>
      <c r="K5" s="4">
        <v>45189</v>
      </c>
      <c r="L5" s="15" t="s">
        <v>193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49">
        <v>45163</v>
      </c>
      <c r="I13" s="1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5" t="s">
        <v>354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45199</v>
      </c>
      <c r="H17" s="46">
        <v>325</v>
      </c>
      <c r="I17" s="49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49" priority="6"/>
  </conditionalFormatting>
  <conditionalFormatting sqref="E5:E106">
    <cfRule type="duplicateValues" dxfId="48" priority="7"/>
  </conditionalFormatting>
  <conditionalFormatting sqref="K1:L1">
    <cfRule type="cellIs" dxfId="47" priority="4" operator="greaterThan">
      <formula>0</formula>
    </cfRule>
    <cfRule type="cellIs" dxfId="46" priority="5" operator="lessThan">
      <formula>0</formula>
    </cfRule>
  </conditionalFormatting>
  <conditionalFormatting sqref="L5:L51">
    <cfRule type="duplicateValues" dxfId="45" priority="3"/>
  </conditionalFormatting>
  <conditionalFormatting sqref="M5:M51">
    <cfRule type="duplicateValues" dxfId="44" priority="2"/>
  </conditionalFormatting>
  <conditionalFormatting sqref="S24:S26">
    <cfRule type="duplicateValues" dxfId="43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268</v>
      </c>
      <c r="C1" s="147"/>
      <c r="D1" s="147"/>
      <c r="E1" s="147"/>
      <c r="F1" s="148"/>
      <c r="G1" s="16" t="s">
        <v>87</v>
      </c>
      <c r="H1" s="149">
        <v>45345</v>
      </c>
      <c r="I1" s="150"/>
      <c r="J1" s="17" t="s">
        <v>36</v>
      </c>
      <c r="K1" s="151">
        <f>M2-E2</f>
        <v>1098545</v>
      </c>
      <c r="L1" s="152"/>
      <c r="M1" s="18"/>
      <c r="N1" s="19"/>
    </row>
    <row r="2" spans="1:14" ht="15.6" x14ac:dyDescent="0.3">
      <c r="A2" s="43">
        <f>SUM(A5:A26)</f>
        <v>0</v>
      </c>
      <c r="B2" s="153"/>
      <c r="C2" s="154"/>
      <c r="D2" s="13" t="s">
        <v>32</v>
      </c>
      <c r="E2" s="12">
        <f>SUM(E5:E26)</f>
        <v>1601499</v>
      </c>
      <c r="F2" s="20"/>
      <c r="G2" s="32" t="s">
        <v>100</v>
      </c>
      <c r="H2" s="155" t="s">
        <v>342</v>
      </c>
      <c r="I2" s="156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198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199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244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200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4" t="s">
        <v>176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49">
        <v>45345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342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5"/>
      <c r="K27" s="175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181</v>
      </c>
      <c r="I28" s="93" t="s">
        <v>147</v>
      </c>
      <c r="J28" s="169" t="s">
        <v>148</v>
      </c>
      <c r="K28" s="169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63">
        <f>H29*I29</f>
        <v>0</v>
      </c>
      <c r="K29" s="163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63">
        <f t="shared" ref="J30:J33" si="1">H30*I30</f>
        <v>432360.00000000006</v>
      </c>
      <c r="K30" s="163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63">
        <f t="shared" si="1"/>
        <v>454020</v>
      </c>
      <c r="K31" s="163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63">
        <f t="shared" si="1"/>
        <v>541000</v>
      </c>
      <c r="K32" s="163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63">
        <f t="shared" si="1"/>
        <v>253179</v>
      </c>
      <c r="K33" s="163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63">
        <f t="shared" ref="J34:J35" si="2">H34*I34</f>
        <v>1014090</v>
      </c>
      <c r="K34" s="163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63">
        <f t="shared" si="2"/>
        <v>11395</v>
      </c>
      <c r="K35" s="163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70">
        <f>SUM(J29:J35)</f>
        <v>2706044</v>
      </c>
      <c r="K36" s="170"/>
      <c r="L36" s="6" t="s">
        <v>154</v>
      </c>
      <c r="M36" s="1">
        <v>34000</v>
      </c>
    </row>
    <row r="37" spans="4:13" x14ac:dyDescent="0.3">
      <c r="E37" s="52" t="s">
        <v>214</v>
      </c>
      <c r="F37" s="109" t="str">
        <f>CONCATENATE(ROUND((F36/F27)*100,2),"%")</f>
        <v>114.93%</v>
      </c>
      <c r="G37" s="15"/>
      <c r="H37" s="58"/>
      <c r="I37" s="15"/>
      <c r="J37" s="171"/>
      <c r="K37" s="171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H15:I15"/>
    <mergeCell ref="J28:K28"/>
    <mergeCell ref="J29:K29"/>
    <mergeCell ref="B3:F3"/>
    <mergeCell ref="G3:I3"/>
    <mergeCell ref="J3:N3"/>
    <mergeCell ref="H4:I4"/>
    <mergeCell ref="G14:I14"/>
    <mergeCell ref="G17:I17"/>
    <mergeCell ref="B1:F1"/>
    <mergeCell ref="H1:I1"/>
    <mergeCell ref="K1:L1"/>
    <mergeCell ref="B2:C2"/>
    <mergeCell ref="H2:I2"/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</mergeCells>
  <conditionalFormatting sqref="K1:L1">
    <cfRule type="cellIs" dxfId="42" priority="4" operator="greaterThan">
      <formula>0</formula>
    </cfRule>
    <cfRule type="cellIs" dxfId="41" priority="5" operator="lessThan">
      <formula>0</formula>
    </cfRule>
  </conditionalFormatting>
  <conditionalFormatting sqref="L5:L22">
    <cfRule type="duplicateValues" dxfId="40" priority="20"/>
  </conditionalFormatting>
  <conditionalFormatting sqref="M5:M22">
    <cfRule type="duplicateValues" dxfId="39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269</v>
      </c>
      <c r="C1" s="147"/>
      <c r="D1" s="147"/>
      <c r="E1" s="147"/>
      <c r="F1" s="148"/>
      <c r="G1" s="16" t="s">
        <v>87</v>
      </c>
      <c r="H1" s="149">
        <v>45477</v>
      </c>
      <c r="I1" s="150"/>
      <c r="J1" s="17" t="s">
        <v>36</v>
      </c>
      <c r="K1" s="151">
        <f>M2-E2</f>
        <v>391120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1221202</v>
      </c>
      <c r="F2" s="20"/>
      <c r="G2" s="32" t="s">
        <v>100</v>
      </c>
      <c r="H2" s="155" t="s">
        <v>343</v>
      </c>
      <c r="I2" s="156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245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171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170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178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180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64" t="s">
        <v>176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49">
        <v>45477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5"/>
      <c r="K31" s="175"/>
    </row>
    <row r="32" spans="1:14" x14ac:dyDescent="0.3">
      <c r="C32" s="6" t="s">
        <v>190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9" t="s">
        <v>148</v>
      </c>
      <c r="K32" s="169"/>
      <c r="L32" s="144" t="s">
        <v>246</v>
      </c>
      <c r="M32" s="144"/>
    </row>
    <row r="33" spans="1:13" x14ac:dyDescent="0.3">
      <c r="C33" s="6" t="s">
        <v>191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63">
        <f>H33*I33</f>
        <v>1327120.2</v>
      </c>
      <c r="K33" s="163"/>
      <c r="L33" s="85" t="s">
        <v>172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63">
        <f t="shared" ref="J34:J39" si="3">H34*I34</f>
        <v>7470</v>
      </c>
      <c r="K34" s="163"/>
      <c r="L34" s="85" t="s">
        <v>173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169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63">
        <f t="shared" si="3"/>
        <v>267050</v>
      </c>
      <c r="K35" s="163"/>
      <c r="L35" s="85" t="s">
        <v>173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70">
        <f t="shared" si="3"/>
        <v>10682</v>
      </c>
      <c r="K36" s="170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179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70">
        <f>SUM(J33:J39)</f>
        <v>1612322.2</v>
      </c>
      <c r="K40" s="170"/>
      <c r="L40" s="85"/>
      <c r="M40" s="62"/>
    </row>
    <row r="41" spans="1:13" x14ac:dyDescent="0.3">
      <c r="E41" s="52" t="s">
        <v>214</v>
      </c>
      <c r="F41" s="109" t="str">
        <f>CONCATENATE(ROUND((F40/F31)*100,2),"%")</f>
        <v>92.87%</v>
      </c>
      <c r="G41" s="15"/>
      <c r="H41" s="58"/>
      <c r="I41" s="15"/>
      <c r="J41" s="171"/>
      <c r="K41" s="171"/>
      <c r="L41" s="52" t="s">
        <v>174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175</v>
      </c>
      <c r="M42" s="82">
        <f>J40-M41</f>
        <v>1120.1999999999534</v>
      </c>
    </row>
    <row r="43" spans="1:13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</mergeCells>
  <conditionalFormatting sqref="K1:L1">
    <cfRule type="cellIs" dxfId="38" priority="1" operator="greaterThan">
      <formula>0</formula>
    </cfRule>
    <cfRule type="cellIs" dxfId="37" priority="2" operator="lessThan">
      <formula>0</formula>
    </cfRule>
  </conditionalFormatting>
  <conditionalFormatting sqref="L5:L22">
    <cfRule type="duplicateValues" dxfId="36" priority="3"/>
  </conditionalFormatting>
  <conditionalFormatting sqref="M5:M22">
    <cfRule type="duplicateValues" dxfId="35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topLeftCell="I1" zoomScaleNormal="100" workbookViewId="0">
      <pane ySplit="1" topLeftCell="A2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270</v>
      </c>
      <c r="C1" s="147"/>
      <c r="D1" s="147"/>
      <c r="E1" s="147"/>
      <c r="F1" s="148"/>
      <c r="G1" s="16" t="s">
        <v>87</v>
      </c>
      <c r="H1" s="149">
        <v>45548</v>
      </c>
      <c r="I1" s="150"/>
      <c r="J1" s="17" t="s">
        <v>36</v>
      </c>
      <c r="K1" s="151">
        <f>M2-E2</f>
        <v>1002304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1412799</v>
      </c>
      <c r="F2" s="20"/>
      <c r="G2" s="32" t="s">
        <v>100</v>
      </c>
      <c r="H2" s="155" t="s">
        <v>291</v>
      </c>
      <c r="I2" s="156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177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197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207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192</v>
      </c>
      <c r="E7" s="9">
        <v>35000</v>
      </c>
      <c r="F7" s="23" t="s">
        <v>177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216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194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195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230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202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229</v>
      </c>
      <c r="E14" s="5">
        <v>17400</v>
      </c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49">
        <v>45561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227</v>
      </c>
      <c r="E16" s="5">
        <v>27000</v>
      </c>
      <c r="F16" s="22"/>
      <c r="G16" s="32" t="s">
        <v>100</v>
      </c>
      <c r="H16" s="155" t="s">
        <v>291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228</v>
      </c>
      <c r="E17" s="5">
        <v>45000</v>
      </c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226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9" t="s">
        <v>148</v>
      </c>
      <c r="K32" s="169"/>
      <c r="L32" s="144" t="s">
        <v>246</v>
      </c>
      <c r="M32" s="144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63">
        <f>H33*I33</f>
        <v>558927</v>
      </c>
      <c r="K33" s="163"/>
      <c r="L33" s="85" t="s">
        <v>215</v>
      </c>
      <c r="M33" s="62">
        <v>200000</v>
      </c>
    </row>
    <row r="34" spans="1:14" x14ac:dyDescent="0.3">
      <c r="E34" s="15" t="s">
        <v>201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63">
        <f t="shared" ref="J34:J39" si="3">H34*I34</f>
        <v>1478368</v>
      </c>
      <c r="K34" s="163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63">
        <f t="shared" si="3"/>
        <v>377808</v>
      </c>
      <c r="K35" s="163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63">
        <f t="shared" si="3"/>
        <v>0</v>
      </c>
      <c r="K36" s="163"/>
      <c r="L36" s="85" t="s">
        <v>172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300000</v>
      </c>
      <c r="N38" s="1" t="s">
        <v>226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7"/>
      <c r="K40" s="178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7"/>
      <c r="K41" s="178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70">
        <f>SUM(J33:J39)</f>
        <v>2415103</v>
      </c>
      <c r="K42" s="170"/>
      <c r="L42" s="52" t="s">
        <v>174</v>
      </c>
      <c r="M42" s="5">
        <f>SUM(M33:M41)</f>
        <v>2424797</v>
      </c>
    </row>
    <row r="43" spans="1:14" ht="15" thickBot="1" x14ac:dyDescent="0.35">
      <c r="E43" s="52" t="s">
        <v>214</v>
      </c>
      <c r="F43" s="109" t="str">
        <f>CONCATENATE(ROUND((F42/F31)*100,2),"%")</f>
        <v>75.15%</v>
      </c>
      <c r="G43" s="15"/>
      <c r="H43" s="58"/>
      <c r="I43" s="15"/>
      <c r="J43" s="171"/>
      <c r="K43" s="171"/>
      <c r="L43" s="83" t="s">
        <v>175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72" t="s">
        <v>196</v>
      </c>
      <c r="B45" s="172"/>
      <c r="C45" s="172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204</v>
      </c>
      <c r="I46" s="1" t="s">
        <v>231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232</v>
      </c>
      <c r="M50" s="62">
        <v>400000</v>
      </c>
    </row>
    <row r="51" spans="7:13" x14ac:dyDescent="0.3">
      <c r="K51" s="40"/>
      <c r="L51" s="58" t="s">
        <v>233</v>
      </c>
      <c r="M51" s="62">
        <v>300000</v>
      </c>
    </row>
    <row r="52" spans="7:13" x14ac:dyDescent="0.3">
      <c r="L52" s="58" t="s">
        <v>234</v>
      </c>
      <c r="M52" s="62">
        <v>40000</v>
      </c>
    </row>
    <row r="53" spans="7:13" x14ac:dyDescent="0.3">
      <c r="L53" s="58" t="s">
        <v>235</v>
      </c>
      <c r="M53" s="62">
        <v>38000</v>
      </c>
    </row>
    <row r="54" spans="7:13" x14ac:dyDescent="0.3">
      <c r="L54" s="58" t="s">
        <v>236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  <mergeCell ref="G14:I14"/>
    <mergeCell ref="H15:I15"/>
    <mergeCell ref="G17:I17"/>
    <mergeCell ref="J31:K31"/>
    <mergeCell ref="H16:I16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4" priority="1" operator="greaterThan">
      <formula>0</formula>
    </cfRule>
    <cfRule type="cellIs" dxfId="33" priority="2" operator="lessThan">
      <formula>0</formula>
    </cfRule>
  </conditionalFormatting>
  <conditionalFormatting sqref="L5:L22">
    <cfRule type="duplicateValues" dxfId="32" priority="3"/>
  </conditionalFormatting>
  <conditionalFormatting sqref="M5:M22">
    <cfRule type="duplicateValues" dxfId="31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271</v>
      </c>
      <c r="C1" s="147"/>
      <c r="D1" s="147"/>
      <c r="E1" s="147"/>
      <c r="F1" s="148"/>
      <c r="G1" s="16" t="s">
        <v>87</v>
      </c>
      <c r="H1" s="149">
        <v>45631</v>
      </c>
      <c r="I1" s="150"/>
      <c r="J1" s="17" t="s">
        <v>36</v>
      </c>
      <c r="K1" s="151">
        <f>M2-E2</f>
        <v>528979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1502849</v>
      </c>
      <c r="F2" s="20"/>
      <c r="G2" s="32" t="s">
        <v>100</v>
      </c>
      <c r="H2" s="155" t="s">
        <v>345</v>
      </c>
      <c r="I2" s="156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237</v>
      </c>
      <c r="E5" s="9">
        <v>265000</v>
      </c>
      <c r="F5" s="23" t="s">
        <v>238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242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248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249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192</v>
      </c>
      <c r="E8" s="9">
        <v>40000</v>
      </c>
      <c r="F8" s="22" t="s">
        <v>239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240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49">
        <v>45653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5" t="s">
        <v>346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9" t="s">
        <v>148</v>
      </c>
      <c r="K32" s="169"/>
      <c r="L32" s="144" t="s">
        <v>246</v>
      </c>
      <c r="M32" s="144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63">
        <f>H33*I33</f>
        <v>526627.5</v>
      </c>
      <c r="K33" s="163"/>
      <c r="L33" s="85" t="s">
        <v>215</v>
      </c>
      <c r="M33" s="62">
        <v>200000</v>
      </c>
    </row>
    <row r="34" spans="1:13" x14ac:dyDescent="0.3">
      <c r="E34" s="15" t="s">
        <v>201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63">
        <f t="shared" ref="J34:J39" si="3">H34*I34</f>
        <v>1357200</v>
      </c>
      <c r="K34" s="163"/>
      <c r="L34" s="85" t="s">
        <v>215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63">
        <f t="shared" si="3"/>
        <v>148000</v>
      </c>
      <c r="K35" s="163"/>
      <c r="L35" s="85" t="s">
        <v>215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63">
        <f t="shared" si="3"/>
        <v>0</v>
      </c>
      <c r="K36" s="163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70">
        <f>SUM(J33:J39)</f>
        <v>2031827.5</v>
      </c>
      <c r="K40" s="170"/>
      <c r="L40" s="52" t="s">
        <v>174</v>
      </c>
      <c r="M40" s="5">
        <f>SUM(M33:M39)</f>
        <v>2059600</v>
      </c>
    </row>
    <row r="41" spans="1:13" ht="15" thickBot="1" x14ac:dyDescent="0.35">
      <c r="E41" s="52" t="s">
        <v>214</v>
      </c>
      <c r="F41" s="109" t="str">
        <f>CONCATENATE(ROUND((F40/F31)*100,2),"%")</f>
        <v>91.1%</v>
      </c>
      <c r="G41" s="15"/>
      <c r="H41" s="58"/>
      <c r="I41" s="15"/>
      <c r="J41" s="171"/>
      <c r="K41" s="171"/>
      <c r="L41" s="83" t="s">
        <v>175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72" t="s">
        <v>196</v>
      </c>
      <c r="B43" s="172"/>
      <c r="C43" s="172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225</v>
      </c>
    </row>
    <row r="45" spans="1:13" x14ac:dyDescent="0.3">
      <c r="B45"/>
      <c r="F45" s="93" t="s">
        <v>219</v>
      </c>
      <c r="G45" s="112">
        <v>34</v>
      </c>
      <c r="H45" s="93" t="s">
        <v>223</v>
      </c>
      <c r="I45" s="112">
        <v>2000</v>
      </c>
      <c r="J45" s="112" t="s">
        <v>224</v>
      </c>
      <c r="K45" s="124">
        <f>G47/11</f>
        <v>4867.636363636364</v>
      </c>
    </row>
    <row r="46" spans="1:13" x14ac:dyDescent="0.3">
      <c r="B46"/>
      <c r="F46" s="93" t="s">
        <v>217</v>
      </c>
      <c r="G46" s="112">
        <v>758</v>
      </c>
      <c r="H46" s="93" t="s">
        <v>218</v>
      </c>
      <c r="I46" s="61">
        <v>110000</v>
      </c>
      <c r="J46" s="61" t="s">
        <v>222</v>
      </c>
      <c r="K46" s="119">
        <v>1470</v>
      </c>
    </row>
    <row r="47" spans="1:13" x14ac:dyDescent="0.3">
      <c r="F47" s="3" t="s">
        <v>220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173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221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241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0" priority="2" operator="greaterThan">
      <formula>0</formula>
    </cfRule>
    <cfRule type="cellIs" dxfId="29" priority="3" operator="lessThan">
      <formula>0</formula>
    </cfRule>
  </conditionalFormatting>
  <conditionalFormatting sqref="L5">
    <cfRule type="duplicateValues" dxfId="28" priority="1"/>
  </conditionalFormatting>
  <conditionalFormatting sqref="L6:L22">
    <cfRule type="duplicateValues" dxfId="27" priority="4"/>
  </conditionalFormatting>
  <conditionalFormatting sqref="M5:M22">
    <cfRule type="duplicateValues" dxfId="26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272</v>
      </c>
      <c r="C1" s="147"/>
      <c r="D1" s="147"/>
      <c r="E1" s="147"/>
      <c r="F1" s="148"/>
      <c r="G1" s="16" t="s">
        <v>87</v>
      </c>
      <c r="H1" s="149">
        <v>45714</v>
      </c>
      <c r="I1" s="150"/>
      <c r="J1" s="17" t="s">
        <v>36</v>
      </c>
      <c r="K1" s="151">
        <f>M2-E2</f>
        <v>405496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1386194</v>
      </c>
      <c r="F2" s="20"/>
      <c r="G2" s="32" t="s">
        <v>100</v>
      </c>
      <c r="H2" s="155" t="s">
        <v>347</v>
      </c>
      <c r="I2" s="156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250</v>
      </c>
      <c r="E5" s="9">
        <v>257500</v>
      </c>
      <c r="F5" s="23" t="s">
        <v>247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253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251</v>
      </c>
      <c r="E6" s="9">
        <v>35000</v>
      </c>
      <c r="F6" s="23" t="s">
        <v>252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255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254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259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261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260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49">
        <v>45743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55" t="s">
        <v>348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9" t="s">
        <v>148</v>
      </c>
      <c r="K32" s="169"/>
      <c r="L32" s="144" t="s">
        <v>246</v>
      </c>
      <c r="M32" s="144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63">
        <f>H33*I33</f>
        <v>368280</v>
      </c>
      <c r="K33" s="163"/>
      <c r="L33" s="85" t="s">
        <v>257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63">
        <f t="shared" ref="J34:J39" si="3">H34*I34</f>
        <v>571064</v>
      </c>
      <c r="K34" s="163"/>
      <c r="L34" s="85" t="s">
        <v>262</v>
      </c>
      <c r="M34" s="62">
        <v>200000</v>
      </c>
    </row>
    <row r="35" spans="1:13" x14ac:dyDescent="0.3">
      <c r="C35" s="126"/>
      <c r="E35" s="15" t="s">
        <v>256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63">
        <f t="shared" si="3"/>
        <v>679140</v>
      </c>
      <c r="K35" s="163"/>
      <c r="L35" s="85" t="s">
        <v>263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63">
        <f t="shared" si="3"/>
        <v>173206</v>
      </c>
      <c r="K36" s="163"/>
      <c r="L36" s="85" t="s">
        <v>264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63">
        <f t="shared" si="3"/>
        <v>0</v>
      </c>
      <c r="K37" s="163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70">
        <f>SUM(J33:J39)</f>
        <v>1791690</v>
      </c>
      <c r="K40" s="170"/>
      <c r="L40" s="52" t="s">
        <v>174</v>
      </c>
      <c r="M40" s="5">
        <f>SUM(M33:M39)</f>
        <v>1835721</v>
      </c>
    </row>
    <row r="41" spans="1:13" ht="15" thickBot="1" x14ac:dyDescent="0.35">
      <c r="E41" s="52" t="s">
        <v>214</v>
      </c>
      <c r="F41" s="109" t="str">
        <f>CONCATENATE(ROUND((F40/F31)*100,2),"%")</f>
        <v>69.09%</v>
      </c>
      <c r="G41" s="15"/>
      <c r="H41" s="58"/>
      <c r="I41" s="15"/>
      <c r="J41" s="171"/>
      <c r="K41" s="171"/>
      <c r="L41" s="83" t="s">
        <v>175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72" t="s">
        <v>196</v>
      </c>
      <c r="B43" s="172"/>
      <c r="C43" s="172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25" priority="2" operator="greaterThan">
      <formula>0</formula>
    </cfRule>
    <cfRule type="cellIs" dxfId="24" priority="3" operator="lessThan">
      <formula>0</formula>
    </cfRule>
  </conditionalFormatting>
  <conditionalFormatting sqref="L5">
    <cfRule type="duplicateValues" dxfId="23" priority="1"/>
  </conditionalFormatting>
  <conditionalFormatting sqref="L6:L22">
    <cfRule type="duplicateValues" dxfId="22" priority="4"/>
  </conditionalFormatting>
  <conditionalFormatting sqref="M5:M22">
    <cfRule type="duplicateValues" dxfId="21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2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273</v>
      </c>
      <c r="B1" s="147"/>
      <c r="C1" s="147"/>
      <c r="D1" s="147"/>
      <c r="E1" s="148"/>
      <c r="F1" s="16" t="s">
        <v>87</v>
      </c>
      <c r="G1" s="149">
        <v>45840</v>
      </c>
      <c r="H1" s="150"/>
      <c r="I1" s="17" t="s">
        <v>36</v>
      </c>
      <c r="J1" s="151">
        <f>L2-D2</f>
        <v>1125929.5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1410000</v>
      </c>
      <c r="E2" s="20"/>
      <c r="F2" s="32" t="s">
        <v>100</v>
      </c>
      <c r="G2" s="155" t="s">
        <v>349</v>
      </c>
      <c r="H2" s="156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250</v>
      </c>
      <c r="D5" s="9">
        <v>300000</v>
      </c>
      <c r="E5" s="23" t="s">
        <v>310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276</v>
      </c>
      <c r="L5" s="5">
        <v>521040</v>
      </c>
      <c r="M5" s="22"/>
    </row>
    <row r="6" spans="1:13" x14ac:dyDescent="0.3">
      <c r="A6" s="41">
        <v>2</v>
      </c>
      <c r="B6" s="7"/>
      <c r="C6" s="3" t="s">
        <v>261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281</v>
      </c>
      <c r="L6" s="5">
        <v>756496</v>
      </c>
      <c r="M6" s="22"/>
    </row>
    <row r="7" spans="1:13" x14ac:dyDescent="0.3">
      <c r="A7" s="41">
        <v>3</v>
      </c>
      <c r="B7" s="7"/>
      <c r="C7" s="3" t="s">
        <v>282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286</v>
      </c>
      <c r="L7" s="5">
        <v>940405.5</v>
      </c>
      <c r="M7" s="22" t="s">
        <v>284</v>
      </c>
    </row>
    <row r="8" spans="1:13" x14ac:dyDescent="0.3">
      <c r="A8" s="41">
        <v>4</v>
      </c>
      <c r="B8" s="7"/>
      <c r="C8" s="3" t="s">
        <v>285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292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45840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291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274</v>
      </c>
      <c r="G31" s="130">
        <v>900000</v>
      </c>
      <c r="H31" s="61" t="s">
        <v>275</v>
      </c>
      <c r="I31" s="175">
        <v>150000</v>
      </c>
      <c r="J31" s="175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9" t="s">
        <v>148</v>
      </c>
      <c r="J32" s="169"/>
      <c r="K32" s="144" t="s">
        <v>246</v>
      </c>
      <c r="L32" s="144"/>
    </row>
    <row r="33" spans="1:12" x14ac:dyDescent="0.3">
      <c r="D33" s="15" t="s">
        <v>277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63">
        <f>G33*H33</f>
        <v>467304</v>
      </c>
      <c r="J33" s="163"/>
      <c r="K33" s="85" t="s">
        <v>287</v>
      </c>
      <c r="L33" s="62">
        <v>100000</v>
      </c>
    </row>
    <row r="34" spans="1:12" x14ac:dyDescent="0.3">
      <c r="D34" s="15" t="s">
        <v>278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63">
        <f t="shared" ref="I34:I39" si="3">G34*H34</f>
        <v>53736</v>
      </c>
      <c r="J34" s="163"/>
      <c r="K34" s="85" t="s">
        <v>290</v>
      </c>
      <c r="L34" s="62">
        <v>600000</v>
      </c>
    </row>
    <row r="35" spans="1:12" x14ac:dyDescent="0.3">
      <c r="B35" s="126"/>
      <c r="D35" s="15" t="s">
        <v>279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63">
        <f t="shared" si="3"/>
        <v>605260</v>
      </c>
      <c r="J35" s="163"/>
      <c r="K35" s="85" t="s">
        <v>294</v>
      </c>
      <c r="L35" s="62">
        <v>700000</v>
      </c>
    </row>
    <row r="36" spans="1:12" x14ac:dyDescent="0.3">
      <c r="D36" s="15" t="s">
        <v>280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63">
        <f t="shared" si="3"/>
        <v>151235.5</v>
      </c>
      <c r="J36" s="163"/>
      <c r="K36" s="85" t="s">
        <v>143</v>
      </c>
      <c r="L36" s="62">
        <v>920000</v>
      </c>
    </row>
    <row r="37" spans="1:12" x14ac:dyDescent="0.3">
      <c r="D37" s="15" t="s">
        <v>283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63">
        <f t="shared" si="3"/>
        <v>940405.5</v>
      </c>
      <c r="J37" s="163"/>
      <c r="K37" s="85" t="s">
        <v>295</v>
      </c>
      <c r="L37" s="62">
        <v>16000</v>
      </c>
    </row>
    <row r="38" spans="1:12" x14ac:dyDescent="0.3">
      <c r="D38" s="15" t="s">
        <v>293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63">
        <f t="shared" si="3"/>
        <v>317988</v>
      </c>
      <c r="J38" s="163"/>
      <c r="K38" s="85" t="s">
        <v>297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70">
        <f>SUM(I33:I39)</f>
        <v>2535929</v>
      </c>
      <c r="J40" s="170"/>
      <c r="K40" s="52" t="s">
        <v>174</v>
      </c>
      <c r="L40" s="5">
        <f>SUM(L33:L39)</f>
        <v>2536000</v>
      </c>
    </row>
    <row r="41" spans="1:12" ht="15" thickBot="1" x14ac:dyDescent="0.35">
      <c r="D41" s="52" t="s">
        <v>214</v>
      </c>
      <c r="E41" s="109" t="str">
        <f>CONCATENATE(ROUND((E40/E31)*100,2),"%")</f>
        <v>72.99%</v>
      </c>
      <c r="F41" s="15"/>
      <c r="G41" s="58"/>
      <c r="H41" s="15"/>
      <c r="I41" s="171"/>
      <c r="J41" s="171"/>
      <c r="K41" s="83" t="s">
        <v>175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72" t="s">
        <v>288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1:J31"/>
    <mergeCell ref="I32:J32"/>
    <mergeCell ref="K32:L32"/>
    <mergeCell ref="I33:J33"/>
    <mergeCell ref="I34:J34"/>
    <mergeCell ref="I35:J35"/>
    <mergeCell ref="I36:J36"/>
    <mergeCell ref="I38:J38"/>
    <mergeCell ref="I39:J39"/>
    <mergeCell ref="I40:J40"/>
    <mergeCell ref="I41:J41"/>
    <mergeCell ref="A43:B43"/>
  </mergeCells>
  <conditionalFormatting sqref="J1:K1">
    <cfRule type="cellIs" dxfId="20" priority="2" operator="greaterThan">
      <formula>0</formula>
    </cfRule>
    <cfRule type="cellIs" dxfId="19" priority="3" operator="lessThan">
      <formula>0</formula>
    </cfRule>
  </conditionalFormatting>
  <conditionalFormatting sqref="K5">
    <cfRule type="duplicateValues" dxfId="18" priority="1"/>
  </conditionalFormatting>
  <conditionalFormatting sqref="K6:K22">
    <cfRule type="duplicateValues" dxfId="17" priority="4"/>
  </conditionalFormatting>
  <conditionalFormatting sqref="L5:L22">
    <cfRule type="duplicateValues" dxfId="16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29" activePane="bottomLeft" state="frozen"/>
      <selection pane="bottomLeft" activeCell="D33" sqref="D33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315</v>
      </c>
      <c r="B1" s="147"/>
      <c r="C1" s="147"/>
      <c r="D1" s="147"/>
      <c r="E1" s="148"/>
      <c r="F1" s="16" t="s">
        <v>87</v>
      </c>
      <c r="G1" s="149">
        <v>45918</v>
      </c>
      <c r="H1" s="150"/>
      <c r="I1" s="17" t="s">
        <v>36</v>
      </c>
      <c r="J1" s="151">
        <f>L2-D2</f>
        <v>979350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1551000</v>
      </c>
      <c r="E2" s="20"/>
      <c r="F2" s="32" t="s">
        <v>100</v>
      </c>
      <c r="G2" s="155" t="s">
        <v>347</v>
      </c>
      <c r="H2" s="156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311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307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296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313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319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317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308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318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316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322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321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329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352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45918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347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226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274</v>
      </c>
      <c r="G31" s="86">
        <v>750000</v>
      </c>
      <c r="H31" s="61" t="s">
        <v>275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9" t="s">
        <v>148</v>
      </c>
      <c r="J32" s="169"/>
      <c r="K32" s="144" t="s">
        <v>246</v>
      </c>
      <c r="L32" s="145"/>
      <c r="M32" s="15"/>
    </row>
    <row r="33" spans="1:13" x14ac:dyDescent="0.3">
      <c r="D33" s="15" t="s">
        <v>306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63">
        <f>G33*H33</f>
        <v>496056</v>
      </c>
      <c r="J33" s="163"/>
      <c r="K33" s="85" t="s">
        <v>320</v>
      </c>
      <c r="L33" s="136">
        <v>50000</v>
      </c>
      <c r="M33" s="15"/>
    </row>
    <row r="34" spans="1:13" x14ac:dyDescent="0.3">
      <c r="D34" s="15" t="s">
        <v>309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63">
        <f t="shared" ref="I34:I39" si="3">G34*H34</f>
        <v>644160</v>
      </c>
      <c r="J34" s="163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256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63">
        <f t="shared" si="3"/>
        <v>1136588</v>
      </c>
      <c r="J35" s="163"/>
      <c r="K35" s="85" t="s">
        <v>330</v>
      </c>
      <c r="L35" s="136">
        <v>500000</v>
      </c>
      <c r="M35" s="15" t="s">
        <v>226</v>
      </c>
    </row>
    <row r="36" spans="1:13" x14ac:dyDescent="0.3">
      <c r="D36" s="15" t="s">
        <v>312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63">
        <f t="shared" si="3"/>
        <v>244273.5</v>
      </c>
      <c r="J36" s="163"/>
      <c r="K36" s="85" t="s">
        <v>331</v>
      </c>
      <c r="L36" s="136">
        <v>500000</v>
      </c>
      <c r="M36" s="15"/>
    </row>
    <row r="37" spans="1:13" x14ac:dyDescent="0.3">
      <c r="D37" s="15" t="s">
        <v>322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63">
        <f t="shared" si="3"/>
        <v>3182.5</v>
      </c>
      <c r="J37" s="163"/>
      <c r="K37" s="85" t="s">
        <v>333</v>
      </c>
      <c r="L37" s="136">
        <v>300000</v>
      </c>
      <c r="M37" s="15"/>
    </row>
    <row r="38" spans="1:13" x14ac:dyDescent="0.3">
      <c r="D38" s="15" t="s">
        <v>321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63">
        <f t="shared" si="3"/>
        <v>6090</v>
      </c>
      <c r="J38" s="163"/>
      <c r="K38" s="85" t="s">
        <v>320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70">
        <f>SUM(I33:I39)</f>
        <v>2530350</v>
      </c>
      <c r="J40" s="170"/>
      <c r="K40" s="52" t="s">
        <v>174</v>
      </c>
      <c r="L40" s="137">
        <f>SUM(L33:L39)</f>
        <v>2532688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65.98%</v>
      </c>
      <c r="F41" s="15"/>
      <c r="G41" s="58"/>
      <c r="H41" s="15"/>
      <c r="I41" s="171"/>
      <c r="J41" s="171"/>
      <c r="K41" s="83" t="s">
        <v>175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288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2" t="s">
        <v>288</v>
      </c>
      <c r="B44" s="17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</mergeCells>
  <conditionalFormatting sqref="J1:K1">
    <cfRule type="cellIs" dxfId="15" priority="2" operator="greaterThan">
      <formula>0</formula>
    </cfRule>
    <cfRule type="cellIs" dxfId="14" priority="3" operator="lessThan">
      <formula>0</formula>
    </cfRule>
  </conditionalFormatting>
  <conditionalFormatting sqref="K5:K6">
    <cfRule type="duplicateValues" dxfId="13" priority="1"/>
  </conditionalFormatting>
  <conditionalFormatting sqref="K7:K22">
    <cfRule type="duplicateValues" dxfId="12" priority="4"/>
  </conditionalFormatting>
  <conditionalFormatting sqref="L5:L22">
    <cfRule type="duplicateValues" dxfId="11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30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336</v>
      </c>
      <c r="B1" s="147"/>
      <c r="C1" s="147"/>
      <c r="D1" s="147"/>
      <c r="E1" s="148"/>
      <c r="F1" s="16" t="s">
        <v>87</v>
      </c>
      <c r="G1" s="149">
        <v>46016</v>
      </c>
      <c r="H1" s="150"/>
      <c r="I1" s="17" t="s">
        <v>36</v>
      </c>
      <c r="J1" s="151">
        <f>L2-D2</f>
        <v>-469722.5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585000</v>
      </c>
      <c r="E2" s="20"/>
      <c r="F2" s="32" t="s">
        <v>100</v>
      </c>
      <c r="G2" s="155" t="s">
        <v>350</v>
      </c>
      <c r="H2" s="156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334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339</v>
      </c>
      <c r="L5" s="5">
        <v>0</v>
      </c>
      <c r="M5" s="22" t="s">
        <v>335</v>
      </c>
    </row>
    <row r="6" spans="1:13" x14ac:dyDescent="0.3">
      <c r="A6" s="41">
        <v>2</v>
      </c>
      <c r="B6" s="7">
        <v>46016</v>
      </c>
      <c r="C6" s="3" t="s">
        <v>332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338</v>
      </c>
      <c r="L6" s="5">
        <v>115277.5</v>
      </c>
      <c r="M6" s="22" t="s">
        <v>335</v>
      </c>
    </row>
    <row r="7" spans="1:13" x14ac:dyDescent="0.3">
      <c r="A7" s="41">
        <v>3</v>
      </c>
      <c r="B7" s="7">
        <v>46046</v>
      </c>
      <c r="C7" s="3" t="s">
        <v>341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329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46016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351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274</v>
      </c>
      <c r="G31" s="86">
        <v>830000</v>
      </c>
      <c r="H31" s="61" t="s">
        <v>275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9" t="s">
        <v>148</v>
      </c>
      <c r="J32" s="169"/>
      <c r="K32" s="144" t="s">
        <v>246</v>
      </c>
      <c r="L32" s="145"/>
      <c r="M32" s="15"/>
    </row>
    <row r="33" spans="1:13" x14ac:dyDescent="0.3">
      <c r="D33" s="15" t="s">
        <v>338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63">
        <f>G33*H33</f>
        <v>115277.5</v>
      </c>
      <c r="J33" s="163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3">
        <f t="shared" ref="I34:I39" si="3">G34*H34</f>
        <v>0</v>
      </c>
      <c r="J34" s="163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3">
        <f t="shared" si="3"/>
        <v>0</v>
      </c>
      <c r="J35" s="163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3">
        <f t="shared" si="3"/>
        <v>0</v>
      </c>
      <c r="J36" s="163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3">
        <f t="shared" si="3"/>
        <v>0</v>
      </c>
      <c r="J37" s="163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3">
        <f t="shared" si="3"/>
        <v>0</v>
      </c>
      <c r="J38" s="163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70">
        <f>SUM(I33:I39)</f>
        <v>115277.5</v>
      </c>
      <c r="J40" s="170"/>
      <c r="K40" s="52" t="s">
        <v>174</v>
      </c>
      <c r="L40" s="137">
        <f>SUM(L33:L39)</f>
        <v>250000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92.8%</v>
      </c>
      <c r="F41" s="15"/>
      <c r="G41" s="58"/>
      <c r="H41" s="15"/>
      <c r="I41" s="171"/>
      <c r="J41" s="171"/>
      <c r="K41" s="83" t="s">
        <v>175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288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2" t="s">
        <v>288</v>
      </c>
      <c r="B44" s="17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10" priority="2" operator="greaterThan">
      <formula>0</formula>
    </cfRule>
    <cfRule type="cellIs" dxfId="9" priority="3" operator="lessThan">
      <formula>0</formula>
    </cfRule>
  </conditionalFormatting>
  <conditionalFormatting sqref="K5:K6">
    <cfRule type="duplicateValues" dxfId="8" priority="1"/>
  </conditionalFormatting>
  <conditionalFormatting sqref="K7:K22">
    <cfRule type="duplicateValues" dxfId="7" priority="4"/>
  </conditionalFormatting>
  <conditionalFormatting sqref="L5:L22">
    <cfRule type="duplicateValues" dxfId="6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tabSelected="1" zoomScaleNormal="100" workbookViewId="0">
      <pane ySplit="1" topLeftCell="A2" activePane="bottomLeft" state="frozen"/>
      <selection pane="bottomLeft" activeCell="L5" sqref="L5:M5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337</v>
      </c>
      <c r="B1" s="147"/>
      <c r="C1" s="147"/>
      <c r="D1" s="147"/>
      <c r="E1" s="148"/>
      <c r="F1" s="16" t="s">
        <v>87</v>
      </c>
      <c r="G1" s="149">
        <v>46068</v>
      </c>
      <c r="H1" s="150"/>
      <c r="I1" s="17" t="s">
        <v>36</v>
      </c>
      <c r="J1" s="151">
        <f>L2-D2</f>
        <v>-922745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1379045</v>
      </c>
      <c r="E2" s="20"/>
      <c r="F2" s="32" t="s">
        <v>100</v>
      </c>
      <c r="G2" s="155" t="str">
        <f ca="1">IF(ISBLANK(G1),"",CONCATENATE(_xlfn.DAYS(TODAY(), G1-1)," days"))</f>
        <v>65 days</v>
      </c>
      <c r="H2" s="156"/>
      <c r="I2" s="38"/>
      <c r="J2" s="10"/>
      <c r="K2" s="11" t="s">
        <v>32</v>
      </c>
      <c r="L2" s="12">
        <f>SUM(L5:L22)</f>
        <v>456300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>
        <v>46124</v>
      </c>
      <c r="G5" s="46">
        <v>166</v>
      </c>
      <c r="H5" s="49" t="str">
        <f>IF(ISBLANK(F5),"",CONCATENATE(F5-$G$1+1," days"))</f>
        <v>57 days</v>
      </c>
      <c r="I5" s="21">
        <v>1</v>
      </c>
      <c r="J5" s="45">
        <v>46132</v>
      </c>
      <c r="K5" s="3" t="s">
        <v>358</v>
      </c>
      <c r="L5" s="5">
        <v>456300</v>
      </c>
      <c r="M5" s="22"/>
    </row>
    <row r="6" spans="1:13" x14ac:dyDescent="0.3">
      <c r="A6" s="41">
        <v>2</v>
      </c>
      <c r="B6" s="7">
        <v>46068</v>
      </c>
      <c r="C6" s="3" t="s">
        <v>332</v>
      </c>
      <c r="D6" s="5">
        <v>33000</v>
      </c>
      <c r="E6" s="23"/>
      <c r="F6" s="45">
        <v>46127</v>
      </c>
      <c r="G6" s="46">
        <v>150</v>
      </c>
      <c r="H6" s="49" t="str">
        <f t="shared" ref="H6:H13" si="0">IF(ISBLANK(F6),"",CONCATENATE(F6-$G$1+1," days"))</f>
        <v>60 days</v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5">
        <v>46131</v>
      </c>
      <c r="G7" s="46">
        <v>133</v>
      </c>
      <c r="H7" s="49" t="str">
        <f t="shared" si="0"/>
        <v>64 days</v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5">
        <v>46132</v>
      </c>
      <c r="G8" s="46">
        <v>131</v>
      </c>
      <c r="H8" s="49" t="str">
        <f t="shared" si="0"/>
        <v>65 days</v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>
        <v>46107</v>
      </c>
      <c r="C9" s="3" t="s">
        <v>308</v>
      </c>
      <c r="D9" s="9">
        <v>6000</v>
      </c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>
        <v>46111</v>
      </c>
      <c r="C10" s="3" t="s">
        <v>143</v>
      </c>
      <c r="D10" s="9">
        <v>1000000</v>
      </c>
      <c r="E10" s="22" t="s">
        <v>357</v>
      </c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>
        <v>46127</v>
      </c>
      <c r="C11" s="3" t="s">
        <v>96</v>
      </c>
      <c r="D11" s="5">
        <v>29560</v>
      </c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132"/>
      <c r="C14" s="3"/>
      <c r="D14" s="9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46068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tr">
        <f ca="1">IF(ISBLANK(G15),"",CONCATENATE(_xlfn.DAYS(TODAY(), G1-1)," days"))</f>
        <v>65 days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46124</v>
      </c>
      <c r="G19" s="46">
        <v>135</v>
      </c>
      <c r="H19" s="49" t="str">
        <f>IF(ISBLANK(F19),"",CONCATENATE(F19-$G$15+1," days"))</f>
        <v>57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46131</v>
      </c>
      <c r="G20" s="46">
        <v>97</v>
      </c>
      <c r="H20" s="49" t="str">
        <f t="shared" ref="H20:H25" si="1">IF(ISBLANK(F20),"",CONCATENATE(F20-$G$15+1," days"))</f>
        <v>64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700000</v>
      </c>
      <c r="H31" s="61" t="s">
        <v>275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9" t="s">
        <v>148</v>
      </c>
      <c r="J32" s="169"/>
      <c r="K32" s="144" t="s">
        <v>246</v>
      </c>
      <c r="L32" s="145"/>
      <c r="M32" s="15"/>
    </row>
    <row r="33" spans="1:13" x14ac:dyDescent="0.3">
      <c r="D33" s="15" t="s">
        <v>306</v>
      </c>
      <c r="E33" s="59">
        <f>G33*F33</f>
        <v>255450</v>
      </c>
      <c r="F33" s="59">
        <v>131</v>
      </c>
      <c r="G33" s="67">
        <v>1950</v>
      </c>
      <c r="H33" s="62">
        <v>234</v>
      </c>
      <c r="I33" s="163">
        <f>G33*H33</f>
        <v>456300</v>
      </c>
      <c r="J33" s="163"/>
      <c r="K33" s="85" t="s">
        <v>355</v>
      </c>
      <c r="L33" s="136">
        <v>134000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3">
        <f t="shared" ref="I34:I39" si="3">G34*H34</f>
        <v>0</v>
      </c>
      <c r="J34" s="163"/>
      <c r="K34" s="85" t="s">
        <v>356</v>
      </c>
      <c r="L34" s="136">
        <v>200000</v>
      </c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3">
        <f t="shared" si="3"/>
        <v>0</v>
      </c>
      <c r="J35" s="163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3">
        <f t="shared" si="3"/>
        <v>0</v>
      </c>
      <c r="J36" s="163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3">
        <f t="shared" si="3"/>
        <v>0</v>
      </c>
      <c r="J37" s="163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3">
        <f t="shared" si="3"/>
        <v>0</v>
      </c>
      <c r="J38" s="163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136"/>
      <c r="M39" s="15"/>
    </row>
    <row r="40" spans="1:13" x14ac:dyDescent="0.3">
      <c r="D40" s="52" t="s">
        <v>144</v>
      </c>
      <c r="E40" s="60">
        <f>SUM(E33:E38)</f>
        <v>255450</v>
      </c>
      <c r="F40" s="60"/>
      <c r="G40" s="84">
        <f>SUM(G33:G39)</f>
        <v>1950</v>
      </c>
      <c r="H40" s="52"/>
      <c r="I40" s="170">
        <f>SUM(I33:I39)</f>
        <v>456300</v>
      </c>
      <c r="J40" s="170"/>
      <c r="K40" s="52" t="s">
        <v>174</v>
      </c>
      <c r="L40" s="137">
        <f>SUM(L33:L39)</f>
        <v>334000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31.93%</v>
      </c>
      <c r="F41" s="15"/>
      <c r="G41" s="58"/>
      <c r="H41" s="15"/>
      <c r="I41" s="171"/>
      <c r="J41" s="171"/>
      <c r="K41" s="83" t="s">
        <v>175</v>
      </c>
      <c r="L41" s="105">
        <f>I40-L40</f>
        <v>122300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288</v>
      </c>
      <c r="B43" s="172"/>
      <c r="C43" s="59">
        <v>450000</v>
      </c>
      <c r="D43" s="15">
        <v>131</v>
      </c>
      <c r="E43" s="131">
        <f>C43/D43</f>
        <v>3435.1145038167938</v>
      </c>
      <c r="F43" s="62">
        <v>235</v>
      </c>
      <c r="G43" s="101">
        <f>E43*F43</f>
        <v>807251.9083969465</v>
      </c>
      <c r="H43" s="15"/>
      <c r="I43" s="15"/>
      <c r="J43" s="5"/>
      <c r="K43" s="15"/>
      <c r="L43" s="15"/>
      <c r="M43" s="15"/>
    </row>
    <row r="44" spans="1:13" x14ac:dyDescent="0.3">
      <c r="A44" s="172" t="s">
        <v>288</v>
      </c>
      <c r="B44" s="172"/>
      <c r="C44" s="59">
        <v>100000</v>
      </c>
      <c r="D44" s="15">
        <v>97</v>
      </c>
      <c r="E44" s="131">
        <f>C44/D44</f>
        <v>1030.9278350515465</v>
      </c>
      <c r="F44" s="62">
        <v>265</v>
      </c>
      <c r="G44" s="101">
        <f>E44*F44</f>
        <v>273195.87628865981</v>
      </c>
      <c r="H44" s="15"/>
      <c r="I44" s="15"/>
      <c r="J44" s="5"/>
      <c r="K44" s="15"/>
      <c r="L44" s="15"/>
      <c r="M44" s="15"/>
    </row>
    <row r="45" spans="1:13" x14ac:dyDescent="0.3">
      <c r="G45" s="111">
        <f>G43+G44</f>
        <v>1080447.7846856064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K6">
    <cfRule type="duplicateValues" dxfId="3" priority="2"/>
  </conditionalFormatting>
  <conditionalFormatting sqref="K7:K22">
    <cfRule type="duplicateValues" dxfId="2" priority="5"/>
  </conditionalFormatting>
  <conditionalFormatting sqref="L5:L22">
    <cfRule type="duplicateValues" dxfId="1" priority="6"/>
  </conditionalFormatting>
  <conditionalFormatting sqref="K5">
    <cfRule type="duplicateValues" dxfId="0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T1" sqref="T1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326</v>
      </c>
      <c r="C1" s="91" t="s">
        <v>182</v>
      </c>
      <c r="D1" s="95" t="s">
        <v>36</v>
      </c>
      <c r="E1" s="94" t="s">
        <v>117</v>
      </c>
      <c r="F1" s="92" t="s">
        <v>116</v>
      </c>
      <c r="G1" s="92" t="s">
        <v>88</v>
      </c>
      <c r="H1" s="142" t="s">
        <v>100</v>
      </c>
      <c r="I1" s="185" t="s">
        <v>206</v>
      </c>
      <c r="J1" s="185"/>
      <c r="K1" s="185"/>
      <c r="L1" s="185"/>
      <c r="M1" s="186"/>
      <c r="N1" s="182" t="str">
        <f ca="1">DATEDIF(T1,TODAY(),"y")&amp;" year, "&amp;DATEDIF(T1,TODAY(),"ym")&amp;" months, "&amp;TODAY()-DATE(YEAR(TODAY()),MONTH(TODAY()),1)&amp;" days"</f>
        <v>3 year, 0 months, 19 days</v>
      </c>
      <c r="O1" s="183"/>
      <c r="P1" s="183"/>
      <c r="Q1" s="183"/>
      <c r="R1" s="184"/>
      <c r="S1" s="8" t="s">
        <v>205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183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3">
        <f>MIN('Term-1'!H5:H11)</f>
        <v>80</v>
      </c>
      <c r="H2" s="141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184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3">
        <f>MIN('Term-2'!H5:H11)</f>
        <v>325</v>
      </c>
      <c r="H3" s="141" t="str" cm="1">
        <f t="array" ref="H3:I3">'Term-2'!H2:I2</f>
        <v>27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185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3">
        <f>MIN('Term-3'!H5:H11)</f>
        <v>325</v>
      </c>
      <c r="H4" s="141" t="str" cm="1">
        <f t="array" ref="H4:I4">'Term-3'!H2:I2</f>
        <v>37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186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3">
        <f>MIN('Term-4'!H5:H11)</f>
        <v>62</v>
      </c>
      <c r="H5" s="141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187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3">
        <f>MIN('Term-5'!H5:H11)</f>
        <v>110</v>
      </c>
      <c r="H6" s="141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188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3">
        <f>MIN('Term-6'!H5:H11)</f>
        <v>65</v>
      </c>
      <c r="H7" s="141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203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3">
        <f>MIN('Term-7'!H5:H11)</f>
        <v>97</v>
      </c>
      <c r="H8" s="141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243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3">
        <f>MIN('Term-8'!H5:H11)</f>
        <v>67</v>
      </c>
      <c r="H9" s="141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258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3">
        <f>MIN('Term-9'!G5:G13)</f>
        <v>78</v>
      </c>
      <c r="H10" s="141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289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3">
        <f>MIN('Term-10'!G5:G13)</f>
        <v>58</v>
      </c>
      <c r="H11" s="141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314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3">
        <f>MIN('Term-11'!G5:G13)</f>
        <v>518</v>
      </c>
      <c r="H12" s="141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'Term-11'!$A$1</f>
        <v>Dec2025 - Jan2026</v>
      </c>
      <c r="C13" s="8" t="s">
        <v>340</v>
      </c>
      <c r="D13" s="96">
        <f t="shared" ref="D13" si="4">IF(F13="","",E13-F13)</f>
        <v>-922745</v>
      </c>
      <c r="E13" s="89">
        <f>'Term-12'!$L$2</f>
        <v>456300</v>
      </c>
      <c r="F13" s="89">
        <f>'Term-12'!$D$2</f>
        <v>1379045</v>
      </c>
      <c r="G13" s="143">
        <f>MIN('Term-12'!G6:G14)</f>
        <v>131</v>
      </c>
      <c r="H13" s="141" cm="1">
        <f t="array" ref="H13:I13">'Term-12'!G3:H3</f>
        <v>0</v>
      </c>
      <c r="I13">
        <v>0</v>
      </c>
    </row>
    <row r="14" spans="1:22" x14ac:dyDescent="0.3">
      <c r="A14" s="88">
        <v>13</v>
      </c>
      <c r="B14" s="128"/>
      <c r="C14" s="8"/>
      <c r="D14" s="96"/>
      <c r="E14" s="89"/>
      <c r="F14" s="89"/>
      <c r="G14" s="143"/>
      <c r="H14" s="141"/>
    </row>
    <row r="15" spans="1:22" x14ac:dyDescent="0.3">
      <c r="A15" s="88">
        <v>14</v>
      </c>
      <c r="B15" s="128"/>
      <c r="C15" s="8"/>
      <c r="D15" s="96"/>
      <c r="E15" s="89"/>
      <c r="F15" s="89"/>
      <c r="G15" s="143"/>
      <c r="H15" s="141"/>
    </row>
    <row r="16" spans="1:22" x14ac:dyDescent="0.3">
      <c r="A16" s="88">
        <v>15</v>
      </c>
      <c r="B16" s="128"/>
      <c r="C16" s="8"/>
      <c r="D16" s="96"/>
      <c r="E16" s="89"/>
      <c r="F16" s="89"/>
      <c r="G16" s="143"/>
      <c r="H16" s="141"/>
    </row>
    <row r="17" spans="1:8" x14ac:dyDescent="0.3">
      <c r="A17" s="88">
        <v>16</v>
      </c>
      <c r="B17" s="128"/>
      <c r="C17" s="8"/>
      <c r="D17" s="96"/>
      <c r="E17" s="89"/>
      <c r="F17" s="89"/>
      <c r="G17" s="143"/>
      <c r="H17" s="141"/>
    </row>
    <row r="18" spans="1:8" x14ac:dyDescent="0.3">
      <c r="A18" s="88">
        <v>17</v>
      </c>
      <c r="B18" s="128"/>
      <c r="C18" s="8"/>
      <c r="D18" s="96"/>
      <c r="E18" s="89"/>
      <c r="F18" s="108"/>
      <c r="G18" s="143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3"/>
      <c r="H19" s="141"/>
    </row>
    <row r="20" spans="1:8" x14ac:dyDescent="0.3">
      <c r="A20" s="88">
        <v>19</v>
      </c>
      <c r="B20" s="128"/>
      <c r="C20" s="8"/>
      <c r="D20" s="96"/>
      <c r="E20" s="89"/>
      <c r="F20" s="89"/>
      <c r="G20" s="143"/>
      <c r="H20" s="141"/>
    </row>
    <row r="21" spans="1:8" x14ac:dyDescent="0.3">
      <c r="A21" s="88">
        <v>20</v>
      </c>
      <c r="B21" s="128"/>
      <c r="C21" s="8"/>
      <c r="D21" s="96"/>
      <c r="E21" s="89"/>
      <c r="F21" s="89"/>
      <c r="G21" s="143"/>
      <c r="H21" s="141"/>
    </row>
    <row r="22" spans="1:8" x14ac:dyDescent="0.3">
      <c r="A22" s="88">
        <v>21</v>
      </c>
      <c r="B22" s="128"/>
      <c r="C22" s="8"/>
      <c r="D22" s="96"/>
      <c r="E22" s="89"/>
      <c r="F22" s="89"/>
      <c r="G22" s="143"/>
      <c r="H22" s="141"/>
    </row>
    <row r="23" spans="1:8" x14ac:dyDescent="0.3">
      <c r="A23" s="88">
        <v>22</v>
      </c>
      <c r="B23" s="128"/>
      <c r="C23" s="8"/>
      <c r="D23" s="96"/>
      <c r="E23" s="89"/>
      <c r="F23" s="89"/>
      <c r="G23" s="143"/>
      <c r="H23" s="141"/>
    </row>
    <row r="24" spans="1:8" x14ac:dyDescent="0.3">
      <c r="A24" s="88">
        <v>23</v>
      </c>
      <c r="B24" s="128"/>
      <c r="C24" s="8"/>
      <c r="D24" s="96"/>
      <c r="E24" s="89"/>
      <c r="F24" s="89"/>
      <c r="G24" s="143"/>
      <c r="H24" s="141"/>
    </row>
    <row r="25" spans="1:8" x14ac:dyDescent="0.3">
      <c r="A25" s="179" t="s">
        <v>189</v>
      </c>
      <c r="B25" s="180"/>
      <c r="C25" s="181"/>
      <c r="D25" s="9">
        <f>SUM(D2:D24)</f>
        <v>2668472</v>
      </c>
      <c r="E25" s="89">
        <f>SUM(E2:E24)</f>
        <v>17877094</v>
      </c>
      <c r="F25" s="89">
        <f>SUM(F2:F24)</f>
        <v>15208622</v>
      </c>
      <c r="G25" s="143"/>
      <c r="H25" s="89"/>
    </row>
    <row r="27" spans="1:8" x14ac:dyDescent="0.3">
      <c r="B27" s="138" t="s">
        <v>323</v>
      </c>
    </row>
    <row r="28" spans="1:8" x14ac:dyDescent="0.3">
      <c r="A28" s="90" t="s">
        <v>0</v>
      </c>
      <c r="B28" s="91" t="s">
        <v>324</v>
      </c>
      <c r="C28" s="95" t="s">
        <v>325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COUNTIF(C4:C7, "*")</f>
        <v>4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COUNTIF(C8:C11, "*")</f>
        <v>4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COUNTIF(C12:C15, "*")</f>
        <v>2</v>
      </c>
      <c r="D32" s="89">
        <f>SUM(D12:D15)</f>
        <v>-1392467.5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140"/>
      <c r="C35" s="8" t="s">
        <v>144</v>
      </c>
      <c r="D35" s="9">
        <f>SUM(D29:D34)</f>
        <v>2668472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211</v>
      </c>
      <c r="C1" s="107" t="s">
        <v>212</v>
      </c>
      <c r="D1" s="107" t="s">
        <v>213</v>
      </c>
    </row>
    <row r="2" spans="1:14" x14ac:dyDescent="0.3">
      <c r="A2" s="88">
        <v>1</v>
      </c>
      <c r="B2" s="108" t="s">
        <v>209</v>
      </c>
      <c r="C2" s="108" t="s">
        <v>208</v>
      </c>
      <c r="D2" s="108" t="s">
        <v>210</v>
      </c>
    </row>
    <row r="3" spans="1:14" x14ac:dyDescent="0.3">
      <c r="A3" s="88"/>
      <c r="B3" s="108" t="s">
        <v>298</v>
      </c>
      <c r="C3" s="108" t="s">
        <v>299</v>
      </c>
      <c r="D3" s="108" t="s">
        <v>303</v>
      </c>
      <c r="E3" s="134" t="s">
        <v>302</v>
      </c>
      <c r="G3" s="117"/>
      <c r="H3" s="117"/>
      <c r="I3" s="117"/>
      <c r="J3" s="117"/>
    </row>
    <row r="4" spans="1:14" x14ac:dyDescent="0.3">
      <c r="A4" s="88"/>
      <c r="B4" s="108" t="s">
        <v>300</v>
      </c>
      <c r="C4" s="108"/>
      <c r="D4" s="108" t="s">
        <v>301</v>
      </c>
      <c r="G4" s="117"/>
      <c r="H4" s="117"/>
      <c r="I4" s="117"/>
      <c r="J4" s="117"/>
    </row>
    <row r="5" spans="1:14" x14ac:dyDescent="0.3">
      <c r="A5" s="88"/>
      <c r="B5" s="108" t="s">
        <v>304</v>
      </c>
      <c r="C5" s="108"/>
      <c r="D5" s="108" t="s">
        <v>305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2026-04-20T05:28:13Z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