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venuk\Downloads\"/>
    </mc:Choice>
  </mc:AlternateContent>
  <xr:revisionPtr revIDLastSave="0" documentId="8_{DC3DD055-C2D8-43D5-B501-765822167C6C}" xr6:coauthVersionLast="47" xr6:coauthVersionMax="47" xr10:uidLastSave="{00000000-0000-0000-0000-000000000000}"/>
  <bookViews>
    <workbookView xWindow="-110" yWindow="-110" windowWidth="19420" windowHeight="10300" firstSheet="4" activeTab="11" xr2:uid="{11C4B940-B48A-4BA4-9D0F-A104A2F59432}"/>
  </bookViews>
  <sheets>
    <sheet name="P_1" sheetId="1" r:id="rId1"/>
    <sheet name="P_2" sheetId="2" r:id="rId2"/>
    <sheet name="P_3" sheetId="3" r:id="rId3"/>
    <sheet name="P_4" sheetId="4" r:id="rId4"/>
    <sheet name="P_5" sheetId="5" r:id="rId5"/>
    <sheet name="P_6" sheetId="6" r:id="rId6"/>
    <sheet name="P_7" sheetId="7" r:id="rId7"/>
    <sheet name="P_8" sheetId="8" r:id="rId8"/>
    <sheet name="P_9" sheetId="9" r:id="rId9"/>
    <sheet name="P_10" sheetId="10" r:id="rId10"/>
    <sheet name="P_11" sheetId="11" r:id="rId11"/>
    <sheet name="P_12" sheetId="12" r:id="rId12"/>
  </sheets>
  <definedNames>
    <definedName name="_xlnm._FilterDatabase" localSheetId="9" hidden="1">P_10!$A$1:$G$9</definedName>
    <definedName name="Slicer_Department">#N/A</definedName>
  </definedNames>
  <calcPr calcId="191029"/>
  <pivotCaches>
    <pivotCache cacheId="5"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1" i="9" l="1"/>
  <c r="N12" i="9"/>
  <c r="N13" i="9"/>
  <c r="N14" i="9"/>
  <c r="N15" i="9"/>
  <c r="N16" i="9"/>
  <c r="N17" i="9"/>
  <c r="N18" i="9"/>
  <c r="N10" i="9"/>
  <c r="E14" i="8"/>
  <c r="E12" i="8"/>
  <c r="C14" i="8"/>
  <c r="C12" i="8"/>
  <c r="H3" i="8"/>
  <c r="H4" i="8"/>
  <c r="H5" i="8"/>
  <c r="H6" i="8"/>
  <c r="H7" i="8"/>
  <c r="H8" i="8"/>
  <c r="H9" i="8"/>
  <c r="H2" i="8"/>
  <c r="G3" i="8"/>
  <c r="G4" i="8"/>
  <c r="G5" i="8"/>
  <c r="G6" i="8"/>
  <c r="G7" i="8"/>
  <c r="G8" i="8"/>
  <c r="G9" i="8"/>
  <c r="G2" i="8"/>
  <c r="C18" i="7"/>
  <c r="C15" i="7"/>
  <c r="C13" i="7"/>
  <c r="I3" i="7"/>
  <c r="I4" i="7"/>
  <c r="I5" i="7"/>
  <c r="I6" i="7"/>
  <c r="I7" i="7"/>
  <c r="I8" i="7"/>
  <c r="I9" i="7"/>
  <c r="I2" i="7"/>
  <c r="H4" i="7"/>
  <c r="H5" i="7"/>
  <c r="H6" i="7"/>
  <c r="H7" i="7"/>
  <c r="H8" i="7"/>
  <c r="H9" i="7"/>
  <c r="H3" i="7"/>
  <c r="H2" i="7"/>
  <c r="E10" i="7"/>
  <c r="D5" i="6"/>
  <c r="D6" i="6"/>
  <c r="D7" i="6"/>
  <c r="D8" i="6"/>
  <c r="D9" i="6"/>
  <c r="D10" i="6"/>
  <c r="D11" i="6"/>
  <c r="D12" i="6"/>
  <c r="D13" i="6"/>
  <c r="D4" i="6"/>
  <c r="E5" i="6"/>
  <c r="E6" i="6"/>
  <c r="E7" i="6"/>
  <c r="E8" i="6"/>
  <c r="E9" i="6"/>
  <c r="E10" i="6"/>
  <c r="E11" i="6"/>
  <c r="E12" i="6"/>
  <c r="E13" i="6"/>
  <c r="E4" i="6"/>
  <c r="I4" i="6"/>
  <c r="N5" i="6"/>
  <c r="N6" i="6"/>
  <c r="N7" i="6"/>
  <c r="N8" i="6"/>
  <c r="N9" i="6"/>
  <c r="N10" i="6"/>
  <c r="N11" i="6"/>
  <c r="N12" i="6"/>
  <c r="N13" i="6"/>
  <c r="N4" i="6"/>
  <c r="C4" i="6"/>
  <c r="M5" i="6"/>
  <c r="M6" i="6"/>
  <c r="M7" i="6"/>
  <c r="M8" i="6"/>
  <c r="M9" i="6"/>
  <c r="M10" i="6"/>
  <c r="M11" i="6"/>
  <c r="M12" i="6"/>
  <c r="M13" i="6"/>
  <c r="M4" i="6"/>
  <c r="L5" i="6"/>
  <c r="L6" i="6"/>
  <c r="L7" i="6"/>
  <c r="L8" i="6"/>
  <c r="L9" i="6"/>
  <c r="L10" i="6"/>
  <c r="L11" i="6"/>
  <c r="L12" i="6"/>
  <c r="L13" i="6"/>
  <c r="L4" i="6"/>
  <c r="K5" i="6"/>
  <c r="K6" i="6"/>
  <c r="K7" i="6"/>
  <c r="K8" i="6"/>
  <c r="K9" i="6"/>
  <c r="K10" i="6"/>
  <c r="K11" i="6"/>
  <c r="K12" i="6"/>
  <c r="K13" i="6"/>
  <c r="K4" i="6"/>
  <c r="J5" i="6"/>
  <c r="J6" i="6"/>
  <c r="J7" i="6"/>
  <c r="J8" i="6"/>
  <c r="J9" i="6"/>
  <c r="J10" i="6"/>
  <c r="J11" i="6"/>
  <c r="J12" i="6"/>
  <c r="J13" i="6"/>
  <c r="J4" i="6"/>
  <c r="I5" i="6"/>
  <c r="I6" i="6"/>
  <c r="I7" i="6"/>
  <c r="I8" i="6"/>
  <c r="I9" i="6"/>
  <c r="I10" i="6"/>
  <c r="I11" i="6"/>
  <c r="I12" i="6"/>
  <c r="I13" i="6"/>
  <c r="H5" i="6"/>
  <c r="H6" i="6"/>
  <c r="H7" i="6"/>
  <c r="H8" i="6"/>
  <c r="H9" i="6"/>
  <c r="H10" i="6"/>
  <c r="H11" i="6"/>
  <c r="H12" i="6"/>
  <c r="H13" i="6"/>
  <c r="H4" i="6"/>
  <c r="G5" i="6"/>
  <c r="G6" i="6"/>
  <c r="G7" i="6"/>
  <c r="G8" i="6"/>
  <c r="G9" i="6"/>
  <c r="G10" i="6"/>
  <c r="G11" i="6"/>
  <c r="G12" i="6"/>
  <c r="G13" i="6"/>
  <c r="G4" i="6"/>
  <c r="F5" i="6"/>
  <c r="F6" i="6"/>
  <c r="F7" i="6"/>
  <c r="F8" i="6"/>
  <c r="F9" i="6"/>
  <c r="F10" i="6"/>
  <c r="F11" i="6"/>
  <c r="F12" i="6"/>
  <c r="F13" i="6"/>
  <c r="F4" i="6"/>
  <c r="C5" i="6"/>
  <c r="C6" i="6"/>
  <c r="C7" i="6"/>
  <c r="C8" i="6"/>
  <c r="C9" i="6"/>
  <c r="C10" i="6"/>
  <c r="C11" i="6"/>
  <c r="C12" i="6"/>
  <c r="C13" i="6"/>
  <c r="E31" i="5"/>
  <c r="H29" i="5"/>
  <c r="G29" i="5"/>
  <c r="E29" i="5"/>
  <c r="I20" i="5"/>
  <c r="G17" i="5"/>
  <c r="C23" i="5"/>
  <c r="C20" i="5"/>
  <c r="C29" i="5"/>
  <c r="C14" i="5"/>
  <c r="C25" i="5" s="1"/>
  <c r="D17" i="5"/>
  <c r="E17" i="5"/>
  <c r="C17" i="5"/>
  <c r="C12" i="5"/>
  <c r="E25" i="5" s="1"/>
  <c r="A8" i="5"/>
  <c r="E8" i="5" s="1"/>
  <c r="G9" i="5"/>
  <c r="E9" i="5"/>
  <c r="C9" i="5"/>
  <c r="C8" i="5"/>
  <c r="A9" i="5"/>
  <c r="G4" i="5"/>
  <c r="G3" i="5"/>
  <c r="E4" i="5"/>
  <c r="E3" i="5"/>
  <c r="C4" i="5"/>
  <c r="C3" i="5"/>
  <c r="A4" i="5"/>
  <c r="A3" i="5"/>
  <c r="M3" i="4"/>
  <c r="M4" i="4"/>
  <c r="M5" i="4"/>
  <c r="M6" i="4"/>
  <c r="M7" i="4"/>
  <c r="M8" i="4"/>
  <c r="M9" i="4"/>
  <c r="M2" i="4"/>
  <c r="N3" i="4"/>
  <c r="N4" i="4"/>
  <c r="N5" i="4"/>
  <c r="N6" i="4"/>
  <c r="N7" i="4"/>
  <c r="N8" i="4"/>
  <c r="N9" i="4"/>
  <c r="N2" i="4"/>
  <c r="L3" i="4"/>
  <c r="L4" i="4"/>
  <c r="L5" i="4"/>
  <c r="L6" i="4"/>
  <c r="L7" i="4"/>
  <c r="L8" i="4"/>
  <c r="L9" i="4"/>
  <c r="L2" i="4"/>
  <c r="K3" i="4"/>
  <c r="K4" i="4"/>
  <c r="K5" i="4"/>
  <c r="K6" i="4"/>
  <c r="K7" i="4"/>
  <c r="K8" i="4"/>
  <c r="K9" i="4"/>
  <c r="K2" i="4"/>
  <c r="J3" i="4"/>
  <c r="J4" i="4"/>
  <c r="J5" i="4"/>
  <c r="J6" i="4"/>
  <c r="J7" i="4"/>
  <c r="J8" i="4"/>
  <c r="J9" i="4"/>
  <c r="J2" i="4"/>
  <c r="I3" i="4" a="1"/>
  <c r="I3" i="4" s="1"/>
  <c r="I4" i="4" a="1"/>
  <c r="I4" i="4" s="1"/>
  <c r="I5" i="4" a="1"/>
  <c r="I5" i="4" s="1"/>
  <c r="I6" i="4" a="1"/>
  <c r="I6" i="4" s="1"/>
  <c r="I7" i="4" a="1"/>
  <c r="I7" i="4" s="1"/>
  <c r="I8" i="4" a="1"/>
  <c r="I8" i="4" s="1"/>
  <c r="I9" i="4" a="1"/>
  <c r="I9" i="4" s="1"/>
  <c r="I2" i="4" a="1"/>
  <c r="I2" i="4" s="1"/>
  <c r="H3" i="4"/>
  <c r="H4" i="4"/>
  <c r="H5" i="4"/>
  <c r="H6" i="4"/>
  <c r="H7" i="4"/>
  <c r="H8" i="4"/>
  <c r="H9" i="4"/>
  <c r="H2" i="4"/>
  <c r="C46" i="3"/>
  <c r="C41" i="3"/>
  <c r="C44" i="3"/>
  <c r="C38" i="3"/>
  <c r="G36" i="3"/>
  <c r="C35" i="3"/>
  <c r="C36" i="3" s="1"/>
  <c r="C32" i="3"/>
  <c r="C29" i="3"/>
  <c r="C26" i="3"/>
  <c r="C23" i="3"/>
  <c r="C20" i="3"/>
  <c r="C17" i="3"/>
  <c r="C14" i="3"/>
  <c r="C11" i="3"/>
  <c r="I14" i="2"/>
  <c r="I10" i="2"/>
  <c r="I5" i="2"/>
  <c r="I6" i="2"/>
  <c r="J2" i="2"/>
  <c r="B41" i="2"/>
  <c r="B36" i="2"/>
  <c r="B38" i="2"/>
  <c r="B35" i="2"/>
  <c r="B32" i="2"/>
  <c r="B29" i="2"/>
  <c r="B26" i="2"/>
  <c r="B23" i="2"/>
  <c r="B20" i="2"/>
  <c r="C17" i="2"/>
  <c r="B14" i="2"/>
  <c r="C11" i="2"/>
  <c r="B16" i="1"/>
  <c r="B42" i="1"/>
  <c r="B13" i="1"/>
  <c r="B32" i="1" a="1"/>
  <c r="B32" i="1" s="1"/>
  <c r="B29" i="1"/>
  <c r="B26" i="1"/>
  <c r="B22" i="1"/>
  <c r="B19" i="1"/>
  <c r="C31" i="5" l="1"/>
  <c r="E27" i="5"/>
  <c r="C27" i="5"/>
  <c r="G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<sst xmlns="http://schemas.openxmlformats.org/spreadsheetml/2006/main" count="618" uniqueCount="244">
  <si>
    <t>Employee ID</t>
  </si>
  <si>
    <t>Name</t>
  </si>
  <si>
    <t>Department</t>
  </si>
  <si>
    <t>Role</t>
  </si>
  <si>
    <t>Salary</t>
  </si>
  <si>
    <t>Joining Date</t>
  </si>
  <si>
    <t>Location</t>
  </si>
  <si>
    <t>E001</t>
  </si>
  <si>
    <t>E002</t>
  </si>
  <si>
    <t>E003</t>
  </si>
  <si>
    <t>E004</t>
  </si>
  <si>
    <t>E005</t>
  </si>
  <si>
    <t>E006</t>
  </si>
  <si>
    <t>E007</t>
  </si>
  <si>
    <t>E008</t>
  </si>
  <si>
    <t>John Smith</t>
  </si>
  <si>
    <t>Jane Doe</t>
  </si>
  <si>
    <t>Sarah Brown</t>
  </si>
  <si>
    <t>Michael Lee</t>
  </si>
  <si>
    <t>Anna Davis</t>
  </si>
  <si>
    <t>Peter Clark</t>
  </si>
  <si>
    <t>Emily White</t>
  </si>
  <si>
    <t>David King</t>
  </si>
  <si>
    <t>HR</t>
  </si>
  <si>
    <t>IT</t>
  </si>
  <si>
    <t>Marketing</t>
  </si>
  <si>
    <t>Finance</t>
  </si>
  <si>
    <t>Manager</t>
  </si>
  <si>
    <t>Developer</t>
  </si>
  <si>
    <t>Analyst</t>
  </si>
  <si>
    <t>Teal Lead</t>
  </si>
  <si>
    <t>Coordinator</t>
  </si>
  <si>
    <t>Accountant</t>
  </si>
  <si>
    <t>Specialist</t>
  </si>
  <si>
    <t>Architect</t>
  </si>
  <si>
    <t>New York</t>
  </si>
  <si>
    <t>San Francisco</t>
  </si>
  <si>
    <t>Chicago</t>
  </si>
  <si>
    <t>Austin</t>
  </si>
  <si>
    <t>Boston</t>
  </si>
  <si>
    <t>1. Find the role of Sarah Brown using her name</t>
  </si>
  <si>
    <t>2. Find the salary of Michael Lee</t>
  </si>
  <si>
    <t>3. Find the row number where Anna Davis is listed</t>
  </si>
  <si>
    <t>4. Get the department of 4th employee in the list</t>
  </si>
  <si>
    <t>5. Find the salary of David King</t>
  </si>
  <si>
    <t>6. Get the joining date of employee 3 rows below Jane Doe</t>
  </si>
  <si>
    <t>VLOOKUP</t>
  </si>
  <si>
    <t>XLOOKUP</t>
  </si>
  <si>
    <t>MATCH</t>
  </si>
  <si>
    <t>INDEX</t>
  </si>
  <si>
    <t>INDEX+MATCH</t>
  </si>
  <si>
    <t>OFFSET</t>
  </si>
  <si>
    <t>3 rows below means 1+3 = 4th person</t>
  </si>
  <si>
    <t>TRANSPOSE(Range) = Hlookup</t>
  </si>
  <si>
    <t>Hlookup</t>
  </si>
  <si>
    <t>INDIRECT</t>
  </si>
  <si>
    <t>1. Sum of all the salaries</t>
  </si>
  <si>
    <t>2. Average of all the salaries</t>
  </si>
  <si>
    <t>3. Maximum salary of all the employees</t>
  </si>
  <si>
    <t>4. Minimum salary of all the employees</t>
  </si>
  <si>
    <t>5. Median of all the salaries</t>
  </si>
  <si>
    <t xml:space="preserve">6. Percentiles of the salaries </t>
  </si>
  <si>
    <t>7. Quartiles of the salaries</t>
  </si>
  <si>
    <t>8. Mode of all the salaries</t>
  </si>
  <si>
    <t>9. Variance of the salaries</t>
  </si>
  <si>
    <t>10. Count of all the employees</t>
  </si>
  <si>
    <t>No value repeated</t>
  </si>
  <si>
    <t>11. Standard deviation of salaries</t>
  </si>
  <si>
    <t>1. Calculate sum of salaries which are greater than 75000</t>
  </si>
  <si>
    <t>2.  Calculate sum of salaries whos dept is IT and joining date greater than 03-06-2013</t>
  </si>
  <si>
    <t>3. COUNT the number of cells have department is HR</t>
  </si>
  <si>
    <t>4. Count the number of cells have  deparment = IT  and salary &gt;65000</t>
  </si>
  <si>
    <t>SUMIF</t>
  </si>
  <si>
    <t>SUMIFS</t>
  </si>
  <si>
    <t>COUNTIF</t>
  </si>
  <si>
    <t>COUNTIFS</t>
  </si>
  <si>
    <t>2. Find characters from right side</t>
  </si>
  <si>
    <t>3. Find specific characters of a word</t>
  </si>
  <si>
    <t>4. combine the words</t>
  </si>
  <si>
    <t>1. Find characters from left side "John Smith"</t>
  </si>
  <si>
    <t>5. Length of a word</t>
  </si>
  <si>
    <t>6. convert to upper case</t>
  </si>
  <si>
    <t>7. convert to lower case</t>
  </si>
  <si>
    <t>8. Convert to proper case</t>
  </si>
  <si>
    <t>9. Remove the spaces in a word</t>
  </si>
  <si>
    <t xml:space="preserve">  kodi  venu  </t>
  </si>
  <si>
    <t>10. Find function case sensitive</t>
  </si>
  <si>
    <t>11. SEARCH function case insensitive</t>
  </si>
  <si>
    <t>12. Replacing a text CASE SENSITIVE</t>
  </si>
  <si>
    <t>IF</t>
  </si>
  <si>
    <t>IFS</t>
  </si>
  <si>
    <t>AND</t>
  </si>
  <si>
    <t>OR</t>
  </si>
  <si>
    <t>NOT</t>
  </si>
  <si>
    <t>IFERROR</t>
  </si>
  <si>
    <t>IFNA</t>
  </si>
  <si>
    <t>DATE</t>
  </si>
  <si>
    <t>YEAR</t>
  </si>
  <si>
    <t>MONTH</t>
  </si>
  <si>
    <t>DAY</t>
  </si>
  <si>
    <t>TIME</t>
  </si>
  <si>
    <t>HOUR</t>
  </si>
  <si>
    <t>MINUTE</t>
  </si>
  <si>
    <t>SECOND</t>
  </si>
  <si>
    <t>TODAY</t>
  </si>
  <si>
    <t>NOW</t>
  </si>
  <si>
    <t>DATEDIF</t>
  </si>
  <si>
    <t>DATEVALUE</t>
  </si>
  <si>
    <t>TIMEVALUE</t>
  </si>
  <si>
    <t>EDATE</t>
  </si>
  <si>
    <t>EOMONTH</t>
  </si>
  <si>
    <t>WORKDAYS</t>
  </si>
  <si>
    <t>NETWORKDAYS</t>
  </si>
  <si>
    <t>Dec 15, 2024</t>
  </si>
  <si>
    <t>"12:20:00"</t>
  </si>
  <si>
    <t>ROUND</t>
  </si>
  <si>
    <t>ROUNDUP</t>
  </si>
  <si>
    <t>ROUNDDOWN</t>
  </si>
  <si>
    <t>SQRT</t>
  </si>
  <si>
    <t>POWER</t>
  </si>
  <si>
    <t>ABS</t>
  </si>
  <si>
    <t>CEILING</t>
  </si>
  <si>
    <t>FLOOR</t>
  </si>
  <si>
    <t>INT</t>
  </si>
  <si>
    <t>EXP</t>
  </si>
  <si>
    <t>LOG</t>
  </si>
  <si>
    <t>MOD</t>
  </si>
  <si>
    <t>N/A</t>
  </si>
  <si>
    <t>NF</t>
  </si>
  <si>
    <t>COUNTBLANK</t>
  </si>
  <si>
    <t>COUNTA</t>
  </si>
  <si>
    <t>Relative Cell</t>
  </si>
  <si>
    <t>Absolute Cell</t>
  </si>
  <si>
    <t>" "</t>
  </si>
  <si>
    <t>COUNT</t>
  </si>
  <si>
    <t>John</t>
  </si>
  <si>
    <t>Smith</t>
  </si>
  <si>
    <t>Jane</t>
  </si>
  <si>
    <t>Doe</t>
  </si>
  <si>
    <t>Sarah</t>
  </si>
  <si>
    <t>Brown</t>
  </si>
  <si>
    <t>Michael</t>
  </si>
  <si>
    <t>Lee</t>
  </si>
  <si>
    <t>Anna</t>
  </si>
  <si>
    <t>Davis</t>
  </si>
  <si>
    <t>Peter</t>
  </si>
  <si>
    <t>Clark</t>
  </si>
  <si>
    <t>Emily</t>
  </si>
  <si>
    <t>White</t>
  </si>
  <si>
    <t>David</t>
  </si>
  <si>
    <t>King</t>
  </si>
  <si>
    <t>Text to columns</t>
  </si>
  <si>
    <t>First name</t>
  </si>
  <si>
    <t>Last Name</t>
  </si>
  <si>
    <t>LEFT</t>
  </si>
  <si>
    <t>MID</t>
  </si>
  <si>
    <t>CONCATENATE</t>
  </si>
  <si>
    <t>CONCATENATION</t>
  </si>
  <si>
    <t>Greater than 75000</t>
  </si>
  <si>
    <t>Duplicate Values</t>
  </si>
  <si>
    <t>Below Average</t>
  </si>
  <si>
    <t>Top/Bottom</t>
  </si>
  <si>
    <t>Highlight cells rules</t>
  </si>
  <si>
    <t>Databars</t>
  </si>
  <si>
    <t>color scales</t>
  </si>
  <si>
    <t>Icon sets</t>
  </si>
  <si>
    <t>Conditional formatting</t>
  </si>
  <si>
    <t>Formula</t>
  </si>
  <si>
    <t>countif(m:m,m10)&gt;1</t>
  </si>
  <si>
    <t>Duplicate findings</t>
  </si>
  <si>
    <t>splitting the column into two columns</t>
  </si>
  <si>
    <t xml:space="preserve">Drop down </t>
  </si>
  <si>
    <t>Data validation</t>
  </si>
  <si>
    <t>settings</t>
  </si>
  <si>
    <t>list</t>
  </si>
  <si>
    <t>range of items</t>
  </si>
  <si>
    <t>data</t>
  </si>
  <si>
    <t>data tools</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</si>
  <si>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</si>
  <si>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</si>
  <si>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</si>
  <si>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</si>
  <si>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</si>
  <si>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</si>
  <si>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</si>
  <si>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</si>
  <si>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</si>
  <si>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</si>
  <si>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</si>
  <si>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</si>
  <si>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</si>
  <si>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</si>
  <si>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</si>
  <si>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t>
  </si>
  <si>
    <t>Descriptive statistics</t>
  </si>
  <si>
    <t>file</t>
  </si>
  <si>
    <t>options</t>
  </si>
  <si>
    <t>Add ins</t>
  </si>
  <si>
    <t>Analysis Toolpak</t>
  </si>
  <si>
    <t xml:space="preserve">home </t>
  </si>
  <si>
    <t>select data</t>
  </si>
  <si>
    <t>show toolpak</t>
  </si>
  <si>
    <t>descriptive statistics</t>
  </si>
  <si>
    <t>input range</t>
  </si>
  <si>
    <t>output range</t>
  </si>
  <si>
    <t>Hyperlinks</t>
  </si>
  <si>
    <t>insert</t>
  </si>
  <si>
    <t>link</t>
  </si>
  <si>
    <t>Freeze panes</t>
  </si>
  <si>
    <t>select data to below rows</t>
  </si>
  <si>
    <t>view</t>
  </si>
  <si>
    <t>freeze panes</t>
  </si>
  <si>
    <t>freeze rows</t>
  </si>
  <si>
    <t>freeze columns</t>
  </si>
  <si>
    <t>Protect sheet</t>
  </si>
  <si>
    <t>select all data</t>
  </si>
  <si>
    <t>right click</t>
  </si>
  <si>
    <t>format cells</t>
  </si>
  <si>
    <t>protection</t>
  </si>
  <si>
    <t>uncheck locked</t>
  </si>
  <si>
    <t>ok</t>
  </si>
  <si>
    <t>password</t>
  </si>
  <si>
    <t>lock cell</t>
  </si>
  <si>
    <t>right clcik</t>
  </si>
  <si>
    <t xml:space="preserve">protection </t>
  </si>
  <si>
    <t xml:space="preserve">check locked </t>
  </si>
  <si>
    <t>Grand Total</t>
  </si>
  <si>
    <t>Sum of Salary</t>
  </si>
  <si>
    <t>Sum of Average</t>
  </si>
  <si>
    <t>Pivot table</t>
  </si>
  <si>
    <t>Pivot chart</t>
  </si>
  <si>
    <t>pivot table</t>
  </si>
  <si>
    <t>new sheet</t>
  </si>
  <si>
    <t xml:space="preserve">pivot chart </t>
  </si>
  <si>
    <t>select charts</t>
  </si>
  <si>
    <t>calculated field</t>
  </si>
  <si>
    <t>pivot table analyze</t>
  </si>
  <si>
    <t>fields,items &amp;sets</t>
  </si>
  <si>
    <t>name</t>
  </si>
  <si>
    <t>formula</t>
  </si>
  <si>
    <t>slicers</t>
  </si>
  <si>
    <t>insert slicer</t>
  </si>
  <si>
    <t>insert timeline</t>
  </si>
  <si>
    <t>filer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</si>
</sst>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yy;@"/>
    <numFmt numFmtId="165" formatCode="[$-F400]h:mm:ss\ AM/PM"/>
  </numFmts>
  <fonts count="7" x14ac:knownFonts="1">
    <font>
      <sz val="11"/>
      <color theme="1"/>
      <name val="Calibri"/>
      <family val="2"/>
      <scheme val="minor"/>
    </font>
    <font>
      <sz val="11"/>
      <name val="Calibri"/>
      <family val="2"/>
      <scheme val="minor"/>
    </font>
    <font>
      <sz val="8"/>
      <name val="Calibri"/>
      <family val="2"/>
      <scheme val="minor"/>
    </font>
    <font>
      <b/>
      <sz val="12"/>
      <color rgb="FFC00000"/>
      <name val="Calibri"/>
      <family val="2"/>
      <scheme val="minor"/>
    </font>
    <font>
      <sz val="11"/>
      <color rgb="FFFF0000"/>
      <name val="Calibri"/>
      <family val="2"/>
      <scheme val="minor"/>
    </font>
    <font>
      <sz val="11"/>
      <color theme="7" tint="0.39997558519241921"/>
      <name val="Calibri"/>
      <family val="2"/>
      <scheme val="minor"/>
    </font>
    <font>
      <u/>
      <sz val="11"/>
      <color theme="1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1" fillId="0" borderId="0" xfId="0" applyFont="1"/>
    <xf numFmtId="14" fontId="0" fillId="0" borderId="0" xfId="0" applyNumberFormat="1"/>
    <xf numFmtId="0" fontId="0" fillId="0" borderId="0" xfId="0" applyAlignment="1">
      <alignment horizontal="center"/>
    </xf>
    <xf numFmtId="0" fontId="1" fillId="2" borderId="0" xfId="0" applyFont="1" applyFill="1"/>
    <xf numFmtId="0" fontId="0" fillId="2" borderId="0" xfId="0" applyFill="1"/>
    <xf numFmtId="0" fontId="0" fillId="3" borderId="0" xfId="0" applyFill="1"/>
    <xf numFmtId="0" fontId="0" fillId="4" borderId="0" xfId="0" applyFill="1"/>
    <xf numFmtId="14" fontId="0" fillId="4" borderId="0" xfId="0" applyNumberFormat="1" applyFill="1"/>
    <xf numFmtId="0" fontId="3" fillId="2" borderId="0" xfId="0" applyFont="1" applyFill="1"/>
    <xf numFmtId="0" fontId="3" fillId="3" borderId="0" xfId="0" applyFont="1" applyFill="1"/>
    <xf numFmtId="0" fontId="3" fillId="4" borderId="0" xfId="0" applyFont="1" applyFill="1"/>
    <xf numFmtId="0" fontId="3" fillId="0" borderId="0" xfId="0" applyFont="1"/>
    <xf numFmtId="164" fontId="0" fillId="0" borderId="0" xfId="0" applyNumberFormat="1"/>
    <xf numFmtId="0" fontId="0" fillId="5" borderId="0" xfId="0" applyFill="1"/>
    <xf numFmtId="0" fontId="4" fillId="5" borderId="0" xfId="0" applyFont="1" applyFill="1"/>
    <xf numFmtId="18" fontId="0" fillId="0" borderId="0" xfId="0" applyNumberFormat="1"/>
    <xf numFmtId="22" fontId="0" fillId="0" borderId="0" xfId="0" applyNumberFormat="1"/>
    <xf numFmtId="15" fontId="0" fillId="0" borderId="0" xfId="0" applyNumberFormat="1"/>
    <xf numFmtId="0" fontId="0" fillId="6" borderId="0" xfId="0" applyFill="1"/>
    <xf numFmtId="0" fontId="4" fillId="6" borderId="0" xfId="0" applyFont="1" applyFill="1"/>
    <xf numFmtId="20" fontId="0" fillId="0" borderId="0" xfId="0" quotePrefix="1" applyNumberFormat="1"/>
    <xf numFmtId="165" fontId="0" fillId="0" borderId="0" xfId="0" applyNumberFormat="1"/>
    <xf numFmtId="0" fontId="0" fillId="7" borderId="0" xfId="0" applyFill="1"/>
    <xf numFmtId="0" fontId="0" fillId="8" borderId="0" xfId="0" applyFill="1"/>
    <xf numFmtId="0" fontId="4" fillId="0" borderId="0" xfId="0" applyFont="1"/>
    <xf numFmtId="0" fontId="5" fillId="0" borderId="0" xfId="0" applyFont="1"/>
    <xf numFmtId="0" fontId="5" fillId="2" borderId="0" xfId="0" applyFont="1" applyFill="1"/>
    <xf numFmtId="0" fontId="1" fillId="9" borderId="0" xfId="0" applyFont="1" applyFill="1"/>
    <xf numFmtId="0" fontId="1" fillId="6" borderId="0" xfId="0" applyFont="1" applyFill="1"/>
    <xf numFmtId="0" fontId="0" fillId="0" borderId="0" xfId="0" applyAlignment="1">
      <alignment horizontal="center"/>
    </xf>
    <xf numFmtId="0" fontId="4" fillId="0" borderId="0" xfId="0" applyFont="1"/>
    <xf numFmtId="0" fontId="0" fillId="6" borderId="0" xfId="0" applyFill="1"/>
    <xf numFmtId="0" fontId="0" fillId="10" borderId="0" xfId="0" applyFill="1"/>
    <xf numFmtId="0" fontId="6" fillId="0" borderId="0" xfId="1"/>
    <xf numFmtId="0" fontId="0" fillId="6" borderId="0" xfId="0" applyFill="1" applyAlignment="1">
      <alignment horizontal="center"/>
    </xf>
    <xf numFmtId="0" fontId="3" fillId="2" borderId="0" xfId="0" applyFont="1" applyFill="1" applyProtection="1">
      <protection locked="0"/>
    </xf>
    <xf numFmtId="0" fontId="3" fillId="3" borderId="0" xfId="0" applyFont="1" applyFill="1" applyProtection="1">
      <protection locked="0"/>
    </xf>
    <xf numFmtId="0" fontId="3" fillId="4" borderId="0" xfId="0" applyFont="1" applyFill="1" applyProtection="1">
      <protection locked="0"/>
    </xf>
    <xf numFmtId="0" fontId="0" fillId="0" borderId="0" xfId="0" applyProtection="1">
      <protection locked="0"/>
    </xf>
    <xf numFmtId="0" fontId="1" fillId="2" borderId="0" xfId="0" applyFont="1" applyFill="1" applyProtection="1">
      <protection locked="0"/>
    </xf>
    <xf numFmtId="0" fontId="0" fillId="2" borderId="0" xfId="0" applyFill="1" applyProtection="1">
      <protection locked="0"/>
    </xf>
    <xf numFmtId="0" fontId="0" fillId="3" borderId="0" xfId="0" applyFill="1" applyProtection="1">
      <protection locked="0"/>
    </xf>
    <xf numFmtId="0" fontId="0" fillId="4" borderId="0" xfId="0" applyFill="1" applyProtection="1">
      <protection locked="0"/>
    </xf>
    <xf numFmtId="14" fontId="0" fillId="4" borderId="0" xfId="0" applyNumberFormat="1" applyFill="1" applyProtection="1">
      <protection locked="0"/>
    </xf>
    <xf numFmtId="0" fontId="0" fillId="6" borderId="0" xfId="0" applyFill="1" applyAlignment="1" applyProtection="1">
      <alignment horizontal="center"/>
      <protection locked="0"/>
    </xf>
    <xf numFmtId="0" fontId="4" fillId="0" borderId="0" xfId="0" applyFont="1" applyProtection="1">
      <protection locked="0"/>
    </xf>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[Lookups.xlsx]P_12!PivotTable1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P_12!$B$3</c:f>
              <c:strCache>
                <c:ptCount val="1"/>
                <c:pt idx="0">
                  <c:v>Sum of Salary</c:v>
                </c:pt>
              </c:strCache>
            </c:strRef>
          </c:tx>
          <c:spPr>
            <a:solidFill>
              <a:schemeClr val="accent1"/>
            </a:solidFill>
            <a:ln>
              <a:noFill/>
            </a:ln>
            <a:effectLst/>
          </c:spPr>
          <c:invertIfNegative val="0"/>
          <c:cat>
            <c:strRef>
              <c:f>P_12!$A$4:$A$5</c:f>
              <c:strCache>
                <c:ptCount val="1"/>
                <c:pt idx="0">
                  <c:v>Marketing</c:v>
                </c:pt>
              </c:strCache>
            </c:strRef>
          </c:cat>
          <c:val>
            <c:numRef>
              <c:f>P_12!$B$4:$B$5</c:f>
              <c:numCache>
                <c:formatCode>General</c:formatCode>
                <c:ptCount val="1"/>
                <c:pt idx="0">
                  <c:v>133000</c:v>
                </c:pt>
              </c:numCache>
            </c:numRef>
          </c:val>
          <c:extLst>
            <c:ext xmlns:c16="http://schemas.microsoft.com/office/drawing/2014/chart" uri="{C3380CC4-5D6E-409C-BE32-E72D297353CC}">
              <c16:uniqueId val="{00000000-D993-4777-9CCC-5C30B8E2012B}"/>
            </c:ext>
          </c:extLst>
        </c:ser>
        <c:ser>
          <c:idx val="1"/>
          <c:order val="1"/>
          <c:tx>
            <c:strRef>
              <c:f>P_12!$C$3</c:f>
              <c:strCache>
                <c:ptCount val="1"/>
                <c:pt idx="0">
                  <c:v>Sum of Average</c:v>
                </c:pt>
              </c:strCache>
            </c:strRef>
          </c:tx>
          <c:spPr>
            <a:solidFill>
              <a:schemeClr val="accent2"/>
            </a:solidFill>
            <a:ln>
              <a:noFill/>
            </a:ln>
            <a:effectLst/>
          </c:spPr>
          <c:invertIfNegative val="0"/>
          <c:cat>
            <c:strRef>
              <c:f>P_12!$A$4:$A$5</c:f>
              <c:strCache>
                <c:ptCount val="1"/>
                <c:pt idx="0">
                  <c:v>Marketing</c:v>
                </c:pt>
              </c:strCache>
            </c:strRef>
          </c:cat>
          <c:val>
            <c:numRef>
              <c:f>P_12!$C$4:$C$5</c:f>
              <c:numCache>
                <c:formatCode>General</c:formatCode>
                <c:ptCount val="1"/>
                <c:pt idx="0">
                  <c:v>22166.666666666668</c:v>
                </c:pt>
              </c:numCache>
            </c:numRef>
          </c:val>
          <c:extLst>
            <c:ext xmlns:c16="http://schemas.microsoft.com/office/drawing/2014/chart" uri="{C3380CC4-5D6E-409C-BE32-E72D297353CC}">
              <c16:uniqueId val="{00000001-D993-4777-9CCC-5C30B8E2012B}"/>
            </c:ext>
          </c:extLst>
        </c:ser>
        <c:dLbls>
          <c:showLegendKey val="0"/>
          <c:showVal val="0"/>
          <c:showCatName val="0"/>
          <c:showSerName val="0"/>
          <c:showPercent val="0"/>
          <c:showBubbleSize val="0"/>
        </c:dLbls>
        <c:gapWidth val="219"/>
        <c:overlap val="-27"/>
        <c:axId val="22457664"/>
        <c:axId val="354446864"/>
      </c:barChart>
      <c:catAx>
        <c:axId val="2245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446864"/>
        <c:crosses val="autoZero"/>
        <c:auto val="1"/>
        <c:lblAlgn val="ctr"/>
        <c:lblOffset val="100"/>
        <c:noMultiLvlLbl val="0"/>
      </c:catAx>
      <c:valAx>
        <c:axId val="35444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349250</xdr:colOff>
      <xdr:row>8</xdr:row>
      <xdr:rowOff>133350</xdr:rowOff>
    </xdr:from>
    <xdr:to>
      <xdr:col>6</xdr:col>
      <xdr:colOff>527050</xdr:colOff>
      <xdr:row>23</xdr:row>
      <xdr:rowOff>114300</xdr:rowOff>
    </xdr:to>
    <xdr:graphicFrame macro="">
      <xdr:nvGraphicFramePr>
        <xdr:cNvPr id="2" name="Chart 1">
          <a:extLst>
            <a:ext uri="{FF2B5EF4-FFF2-40B4-BE49-F238E27FC236}">
              <a16:creationId xmlns:a16="http://schemas.microsoft.com/office/drawing/2014/main" id="{13B4E1F0-897A-EBEA-3171-5BC23B5EC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292100</xdr:colOff>
      <xdr:row>10</xdr:row>
      <xdr:rowOff>63500</xdr:rowOff>
    </xdr:from>
    <xdr:to>
      <xdr:col>11</xdr:col>
      <xdr:colOff>292100</xdr:colOff>
      <xdr:row>24</xdr:row>
      <xdr:rowOff>9525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BE316D6-6910-2526-C328-C8F60B26123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905500" y="1905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u K" refreshedDate="45644.903677893519" createdVersion="8" refreshedVersion="8" minRefreshableVersion="3" recordCount="8" xr:uid="{5F187BA9-CD43-4D71-BEAB-577AAAC2B461}">
  <cacheSource type="worksheet">
    <worksheetSource ref="A1:G9" sheet="P_11"/>
  </cacheSource>
  <cacheFields count="8">
    <cacheField name="Employee ID" numFmtId="0">
      <sharedItems/>
    </cacheField>
    <cacheField name="Name" numFmtId="0">
      <sharedItems/>
    </cacheField>
    <cacheField name="Department" numFmtId="0">
      <sharedItems count="4">
        <s v="HR"/>
        <s v="IT"/>
        <s v="Marketing"/>
        <s v="Finance"/>
      </sharedItems>
    </cacheField>
    <cacheField name="Role" numFmtId="0">
      <sharedItems/>
    </cacheField>
    <cacheField name="Salary" numFmtId="0">
      <sharedItems containsSemiMixedTypes="0" containsString="0" containsNumber="1" containsInteger="1" minValue="60000" maxValue="95000"/>
    </cacheField>
    <cacheField name="Joining Date" numFmtId="14">
      <sharedItems containsSemiMixedTypes="0" containsNonDate="0" containsDate="1" containsString="0" minDate="2013-07-15T00:00:00" maxDate="2020-09-09T00:00:00"/>
    </cacheField>
    <cacheField name="Location" numFmtId="0">
      <sharedItems/>
    </cacheField>
    <cacheField name="Average" numFmtId="0" formula="Salary/6" databaseField="0"/>
  </cacheFields>
  <extLst>
    <ext xmlns:x14="http://schemas.microsoft.com/office/spreadsheetml/2009/9/main" uri="{725AE2AE-9491-48be-B2B4-4EB974FC3084}">
      <x14:pivotCacheDefinition pivotCacheId="647980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E001"/>
    <s v="John Smith"/>
    <x v="0"/>
    <s v="Manager"/>
    <n v="80000"/>
    <d v="2015-05-01T00:00:00"/>
    <s v="New York"/>
  </r>
  <r>
    <s v="E002"/>
    <s v="Jane Doe"/>
    <x v="1"/>
    <s v="Developer"/>
    <n v="75000"/>
    <d v="2018-12-12T00:00:00"/>
    <s v="San Francisco"/>
  </r>
  <r>
    <s v="E003"/>
    <s v="Sarah Brown"/>
    <x v="2"/>
    <s v="Analyst"/>
    <n v="68000"/>
    <d v="2017-03-20T00:00:00"/>
    <s v="Chicago"/>
  </r>
  <r>
    <s v="E004"/>
    <s v="Michael Lee"/>
    <x v="1"/>
    <s v="Teal Lead"/>
    <n v="90000"/>
    <d v="2013-07-15T00:00:00"/>
    <s v="Austin"/>
  </r>
  <r>
    <s v="E005"/>
    <s v="Anna Davis"/>
    <x v="0"/>
    <s v="Coordinator"/>
    <n v="60000"/>
    <d v="2020-09-08T00:00:00"/>
    <s v="New York"/>
  </r>
  <r>
    <s v="E006"/>
    <s v="Peter Clark"/>
    <x v="3"/>
    <s v="Accountant"/>
    <n v="72000"/>
    <d v="2016-11-10T00:00:00"/>
    <s v="Boston"/>
  </r>
  <r>
    <s v="E007"/>
    <s v="Emily White"/>
    <x v="2"/>
    <s v="Specialist"/>
    <n v="65000"/>
    <d v="2019-06-03T00:00:00"/>
    <s v="Chicago"/>
  </r>
  <r>
    <s v="E008"/>
    <s v="David King"/>
    <x v="1"/>
    <s v="Architect"/>
    <n v="95000"/>
    <d v="2014-03-01T00:00:00"/>
    <s v="Aust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41F8D3-FF40-421D-9EAD-C409CE1920C9}" name="PivotTable1" cacheId="5"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
  <location ref="A3:C5" firstHeaderRow="0" firstDataRow="1" firstDataCol="1"/>
  <pivotFields count="8">
    <pivotField showAll="0"/>
    <pivotField showAll="0"/>
    <pivotField axis="axisRow" showAll="0">
      <items count="5">
        <item h="1" x="3"/>
        <item h="1" x="0"/>
        <item h="1" x="1"/>
        <item x="2"/>
        <item t="default"/>
      </items>
    </pivotField>
    <pivotField showAll="0"/>
    <pivotField dataField="1" showAll="0"/>
    <pivotField numFmtId="14" showAll="0"/>
    <pivotField showAll="0"/>
    <pivotField dataField="1" dragToRow="0" dragToCol="0" dragToPage="0" showAll="0" defaultSubtotal="0"/>
  </pivotFields>
  <rowFields count="1">
    <field x="2"/>
  </rowFields>
  <rowItems count="2">
    <i>
      <x v="3"/>
    </i>
    <i t="grand">
      <x/>
    </i>
  </rowItems>
  <colFields count="1">
    <field x="-2"/>
  </colFields>
  <colItems count="2">
    <i>
      <x/>
    </i>
    <i i="1">
      <x v="1"/>
    </i>
  </colItems>
  <dataFields count="2">
    <dataField name="Sum of Salary" fld="4" baseField="0" baseItem="0"/>
    <dataField name="Sum of Average" fld="7"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A65DB21-2C49-4955-B8BE-74B985417483}" sourceName="Department">
  <pivotTables>
    <pivotTable tabId="12" name="PivotTable1"/>
  </pivotTables>
  <data>
    <tabular pivotCacheId="647980801">
      <items count="4">
        <i x="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21BDC17-C649-40DC-A1BF-88E049CE68B9}" cache="Slicer_Department" caption="Department" rowHeight="241300"/>
</slicer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D1A934D-BE63-4814-A74B-3CA5AB697CC5}">
  <we:reference id="wa104379190" version="2.0.0.0" store="en-US" storeType="OMEX"/>
  <we:alternateReferences>
    <we:reference id="WA104379190" version="2.0.0.0" store="WA104379190" storeType="OMEX"/>
  </we:alternateReferences>
  <we:properties/>
  <we:bindings>
    <we:binding id="RangeSelect" type="matrix" appref="{86A1C06C-BFA4-42A1-B56F-C925E106B07A}"/>
    <we:binding id="Input" type="matrix" appref="{1734C305-1FDE-45E6-84B5-B2238506A930}"/>
    <we:binding id="Output" type="matrix" appref="{B76ABDC0-92C9-45C7-A8F0-BEA5237A42DF}"/>
  </we:bindings>
  <we:snapshot xmlns:r="http://schemas.openxmlformats.org/officeDocument/2006/relationships"/>
</we:webextension>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CBE2-415D-449B-87E3-BA809124A735}">
  <dimension ref="A1:J44"/>
  <sheetViews>
    <sheetView workbookViewId="0">
      <selection activeCell="B13" sqref="B13"/>
    </sheetView>
  </sheetViews>
  <sheetFormatPr defaultRowHeight="14.5" x14ac:dyDescent="0.35"/>
  <cols>
    <col min="1" max="1" width="13.81640625" customWidth="1"/>
    <col min="2" max="2" width="15.6328125" customWidth="1"/>
    <col min="3" max="3" width="12.7265625" customWidth="1"/>
    <col min="4" max="4" width="11.90625" customWidth="1"/>
    <col min="5" max="5" width="10.1796875" customWidth="1"/>
    <col min="6" max="6" width="12.26953125" customWidth="1"/>
    <col min="7" max="7" width="12.54296875" customWidth="1"/>
    <col min="8" max="8" width="10.7265625" customWidth="1"/>
    <col min="9" max="9" width="12.26953125" customWidth="1"/>
  </cols>
  <sheetData>
    <row r="1" spans="1:7" s="12" customFormat="1" ht="15.5" x14ac:dyDescent="0.35">
      <c r="A1" s="9" t="s">
        <v>0</v>
      </c>
      <c r="B1" s="9" t="s">
        <v>1</v>
      </c>
      <c r="C1" s="10" t="s">
        <v>2</v>
      </c>
      <c r="D1" s="10" t="s">
        <v>3</v>
      </c>
      <c r="E1" s="11" t="s">
        <v>4</v>
      </c>
      <c r="F1" s="11" t="s">
        <v>5</v>
      </c>
      <c r="G1" s="11" t="s">
        <v>6</v>
      </c>
    </row>
    <row r="2" spans="1:7" x14ac:dyDescent="0.35">
      <c r="A2" s="4" t="s">
        <v>7</v>
      </c>
      <c r="B2" s="5" t="s">
        <v>15</v>
      </c>
      <c r="C2" s="6" t="s">
        <v>23</v>
      </c>
      <c r="D2" s="6" t="s">
        <v>27</v>
      </c>
      <c r="E2" s="7">
        <v>80000</v>
      </c>
      <c r="F2" s="8">
        <v>42125</v>
      </c>
      <c r="G2" s="7" t="s">
        <v>35</v>
      </c>
    </row>
    <row r="3" spans="1:7" x14ac:dyDescent="0.35">
      <c r="A3" s="4" t="s">
        <v>8</v>
      </c>
      <c r="B3" s="5" t="s">
        <v>16</v>
      </c>
      <c r="C3" s="6" t="s">
        <v>24</v>
      </c>
      <c r="D3" s="6" t="s">
        <v>28</v>
      </c>
      <c r="E3" s="7">
        <v>75000</v>
      </c>
      <c r="F3" s="8">
        <v>43446</v>
      </c>
      <c r="G3" s="7" t="s">
        <v>36</v>
      </c>
    </row>
    <row r="4" spans="1:7" x14ac:dyDescent="0.35">
      <c r="A4" s="4" t="s">
        <v>9</v>
      </c>
      <c r="B4" s="5" t="s">
        <v>17</v>
      </c>
      <c r="C4" s="6" t="s">
        <v>25</v>
      </c>
      <c r="D4" s="6" t="s">
        <v>29</v>
      </c>
      <c r="E4" s="7">
        <v>68000</v>
      </c>
      <c r="F4" s="8">
        <v>42814</v>
      </c>
      <c r="G4" s="7" t="s">
        <v>37</v>
      </c>
    </row>
    <row r="5" spans="1:7" x14ac:dyDescent="0.35">
      <c r="A5" s="4" t="s">
        <v>10</v>
      </c>
      <c r="B5" s="5" t="s">
        <v>18</v>
      </c>
      <c r="C5" s="6" t="s">
        <v>24</v>
      </c>
      <c r="D5" s="6" t="s">
        <v>30</v>
      </c>
      <c r="E5" s="7">
        <v>90000</v>
      </c>
      <c r="F5" s="8">
        <v>41470</v>
      </c>
      <c r="G5" s="7" t="s">
        <v>38</v>
      </c>
    </row>
    <row r="6" spans="1:7" x14ac:dyDescent="0.35">
      <c r="A6" s="4" t="s">
        <v>11</v>
      </c>
      <c r="B6" s="5" t="s">
        <v>19</v>
      </c>
      <c r="C6" s="6" t="s">
        <v>23</v>
      </c>
      <c r="D6" s="6" t="s">
        <v>31</v>
      </c>
      <c r="E6" s="7">
        <v>60000</v>
      </c>
      <c r="F6" s="8">
        <v>44082</v>
      </c>
      <c r="G6" s="7" t="s">
        <v>35</v>
      </c>
    </row>
    <row r="7" spans="1:7" x14ac:dyDescent="0.35">
      <c r="A7" s="4" t="s">
        <v>12</v>
      </c>
      <c r="B7" s="5" t="s">
        <v>20</v>
      </c>
      <c r="C7" s="6" t="s">
        <v>26</v>
      </c>
      <c r="D7" s="6" t="s">
        <v>32</v>
      </c>
      <c r="E7" s="7">
        <v>72000</v>
      </c>
      <c r="F7" s="8">
        <v>42684</v>
      </c>
      <c r="G7" s="7" t="s">
        <v>39</v>
      </c>
    </row>
    <row r="8" spans="1:7" x14ac:dyDescent="0.35">
      <c r="A8" s="4" t="s">
        <v>13</v>
      </c>
      <c r="B8" s="5" t="s">
        <v>21</v>
      </c>
      <c r="C8" s="6" t="s">
        <v>25</v>
      </c>
      <c r="D8" s="6" t="s">
        <v>33</v>
      </c>
      <c r="E8" s="7">
        <v>65000</v>
      </c>
      <c r="F8" s="8">
        <v>43619</v>
      </c>
      <c r="G8" s="7" t="s">
        <v>37</v>
      </c>
    </row>
    <row r="9" spans="1:7" x14ac:dyDescent="0.35">
      <c r="A9" s="4" t="s">
        <v>14</v>
      </c>
      <c r="B9" s="5" t="s">
        <v>22</v>
      </c>
      <c r="C9" s="6" t="s">
        <v>24</v>
      </c>
      <c r="D9" s="6" t="s">
        <v>34</v>
      </c>
      <c r="E9" s="7">
        <v>95000</v>
      </c>
      <c r="F9" s="8">
        <v>41699</v>
      </c>
      <c r="G9" s="7" t="s">
        <v>38</v>
      </c>
    </row>
    <row r="10" spans="1:7" x14ac:dyDescent="0.35">
      <c r="A10" s="1"/>
    </row>
    <row r="11" spans="1:7" x14ac:dyDescent="0.35">
      <c r="A11" s="30" t="s">
        <v>40</v>
      </c>
      <c r="B11" s="30"/>
      <c r="C11" s="30"/>
      <c r="D11" s="30"/>
      <c r="E11" s="30"/>
      <c r="F11" s="30"/>
    </row>
    <row r="12" spans="1:7" x14ac:dyDescent="0.35">
      <c r="B12" s="30"/>
      <c r="C12" s="30"/>
      <c r="D12" s="30"/>
      <c r="E12" s="30"/>
    </row>
    <row r="13" spans="1:7" x14ac:dyDescent="0.35">
      <c r="A13" t="s">
        <v>46</v>
      </c>
      <c r="B13" t="str">
        <f>VLOOKUP(B4,B2:D9,3,0)</f>
        <v>Analyst</v>
      </c>
    </row>
    <row r="15" spans="1:7" x14ac:dyDescent="0.35">
      <c r="A15" s="30" t="s">
        <v>41</v>
      </c>
      <c r="B15" s="30"/>
      <c r="C15" s="30"/>
      <c r="D15" s="30"/>
      <c r="E15" s="30"/>
      <c r="F15" s="30"/>
    </row>
    <row r="16" spans="1:7" x14ac:dyDescent="0.35">
      <c r="A16" t="s">
        <v>47</v>
      </c>
      <c r="B16">
        <f>_xlfn.XLOOKUP(B5,B2:B9,E2:E9)</f>
        <v>90000</v>
      </c>
    </row>
    <row r="18" spans="1:10" x14ac:dyDescent="0.35">
      <c r="A18" s="30" t="s">
        <v>42</v>
      </c>
      <c r="B18" s="30"/>
      <c r="C18" s="30"/>
      <c r="D18" s="30"/>
      <c r="E18" s="30"/>
    </row>
    <row r="19" spans="1:10" x14ac:dyDescent="0.35">
      <c r="A19" t="s">
        <v>48</v>
      </c>
      <c r="B19">
        <f>MATCH(B6,B2:B9,0)</f>
        <v>5</v>
      </c>
    </row>
    <row r="21" spans="1:10" x14ac:dyDescent="0.35">
      <c r="A21" s="30" t="s">
        <v>43</v>
      </c>
      <c r="B21" s="30"/>
      <c r="C21" s="30"/>
      <c r="D21" s="30"/>
      <c r="E21" s="30"/>
    </row>
    <row r="22" spans="1:10" x14ac:dyDescent="0.35">
      <c r="A22" t="s">
        <v>49</v>
      </c>
      <c r="B22" t="str">
        <f>INDEX(C2:C9,4)</f>
        <v>IT</v>
      </c>
    </row>
    <row r="25" spans="1:10" x14ac:dyDescent="0.35">
      <c r="A25" s="30" t="s">
        <v>44</v>
      </c>
      <c r="B25" s="30"/>
      <c r="C25" s="30"/>
      <c r="D25" s="30"/>
      <c r="E25" s="30"/>
      <c r="F25" s="30"/>
    </row>
    <row r="26" spans="1:10" x14ac:dyDescent="0.35">
      <c r="A26" t="s">
        <v>50</v>
      </c>
      <c r="B26">
        <f>INDEX(E2:E9,MATCH(B9,B2:B9,0))</f>
        <v>95000</v>
      </c>
    </row>
    <row r="28" spans="1:10" x14ac:dyDescent="0.35">
      <c r="A28" s="30" t="s">
        <v>45</v>
      </c>
      <c r="B28" s="30"/>
      <c r="C28" s="30"/>
      <c r="D28" s="30"/>
      <c r="E28" s="30"/>
      <c r="F28" s="30"/>
    </row>
    <row r="29" spans="1:10" x14ac:dyDescent="0.35">
      <c r="A29" t="s">
        <v>51</v>
      </c>
      <c r="B29" s="2">
        <f ca="1">OFFSET(A3,4,5)</f>
        <v>42684</v>
      </c>
      <c r="C29" s="30" t="s">
        <v>52</v>
      </c>
      <c r="D29" s="30"/>
      <c r="E29" s="30"/>
    </row>
    <row r="30" spans="1:10" x14ac:dyDescent="0.35">
      <c r="B30" s="2"/>
      <c r="C30" s="3"/>
      <c r="D30" s="3"/>
      <c r="E30" s="3"/>
    </row>
    <row r="31" spans="1:10" x14ac:dyDescent="0.35">
      <c r="B31" s="30">
        <v>7</v>
      </c>
      <c r="C31" s="30"/>
      <c r="D31" s="30"/>
      <c r="E31" s="30"/>
      <c r="F31" s="30"/>
    </row>
    <row r="32" spans="1:10" x14ac:dyDescent="0.35">
      <c r="B32" t="str" cm="1">
        <f t="array" ref="B32:J38">TRANSPOSE(A1:G9)</f>
        <v>Employee ID</v>
      </c>
      <c r="C32" t="str">
        <v>E001</v>
      </c>
      <c r="D32" t="str">
        <v>E002</v>
      </c>
      <c r="E32" t="str">
        <v>E003</v>
      </c>
      <c r="F32" t="str">
        <v>E004</v>
      </c>
      <c r="G32" t="str">
        <v>E005</v>
      </c>
      <c r="H32" t="str">
        <v>E006</v>
      </c>
      <c r="I32" t="str">
        <v>E007</v>
      </c>
      <c r="J32" t="str">
        <v>E008</v>
      </c>
    </row>
    <row r="33" spans="1:10" x14ac:dyDescent="0.35">
      <c r="B33" t="str">
        <v>Name</v>
      </c>
      <c r="C33" t="str">
        <v>John Smith</v>
      </c>
      <c r="D33" t="str">
        <v>Jane Doe</v>
      </c>
      <c r="E33" t="str">
        <v>Sarah Brown</v>
      </c>
      <c r="F33" t="str">
        <v>Michael Lee</v>
      </c>
      <c r="G33" t="str">
        <v>Anna Davis</v>
      </c>
      <c r="H33" t="str">
        <v>Peter Clark</v>
      </c>
      <c r="I33" t="str">
        <v>Emily White</v>
      </c>
      <c r="J33" t="str">
        <v>David King</v>
      </c>
    </row>
    <row r="34" spans="1:10" x14ac:dyDescent="0.35">
      <c r="B34" t="str">
        <v>Department</v>
      </c>
      <c r="C34" t="str">
        <v>HR</v>
      </c>
      <c r="D34" t="str">
        <v>IT</v>
      </c>
      <c r="E34" t="str">
        <v>Marketing</v>
      </c>
      <c r="F34" t="str">
        <v>IT</v>
      </c>
      <c r="G34" t="str">
        <v>HR</v>
      </c>
      <c r="H34" t="str">
        <v>Finance</v>
      </c>
      <c r="I34" t="str">
        <v>Marketing</v>
      </c>
      <c r="J34" t="str">
        <v>IT</v>
      </c>
    </row>
    <row r="35" spans="1:10" x14ac:dyDescent="0.35">
      <c r="B35" t="str">
        <v>Role</v>
      </c>
      <c r="C35" t="str">
        <v>Manager</v>
      </c>
      <c r="D35" t="str">
        <v>Developer</v>
      </c>
      <c r="E35" t="str">
        <v>Analyst</v>
      </c>
      <c r="F35" t="str">
        <v>Teal Lead</v>
      </c>
      <c r="G35" t="str">
        <v>Coordinator</v>
      </c>
      <c r="H35" t="str">
        <v>Accountant</v>
      </c>
      <c r="I35" t="str">
        <v>Specialist</v>
      </c>
      <c r="J35" t="str">
        <v>Architect</v>
      </c>
    </row>
    <row r="36" spans="1:10" x14ac:dyDescent="0.35">
      <c r="B36" t="str">
        <v>Salary</v>
      </c>
      <c r="C36">
        <v>80000</v>
      </c>
      <c r="D36">
        <v>75000</v>
      </c>
      <c r="E36">
        <v>68000</v>
      </c>
      <c r="F36">
        <v>90000</v>
      </c>
      <c r="G36">
        <v>60000</v>
      </c>
      <c r="H36">
        <v>72000</v>
      </c>
      <c r="I36">
        <v>65000</v>
      </c>
      <c r="J36">
        <v>95000</v>
      </c>
    </row>
    <row r="37" spans="1:10" x14ac:dyDescent="0.35">
      <c r="B37" s="13" t="str">
        <v>Joining Date</v>
      </c>
      <c r="C37" s="13">
        <v>42125</v>
      </c>
      <c r="D37" s="13">
        <v>43446</v>
      </c>
      <c r="E37" s="13">
        <v>42814</v>
      </c>
      <c r="F37" s="13">
        <v>41470</v>
      </c>
      <c r="G37" s="13">
        <v>44082</v>
      </c>
      <c r="H37" s="13">
        <v>42684</v>
      </c>
      <c r="I37" s="13">
        <v>43619</v>
      </c>
      <c r="J37">
        <v>41699</v>
      </c>
    </row>
    <row r="38" spans="1:10" x14ac:dyDescent="0.35">
      <c r="B38" s="13" t="str">
        <v>Location</v>
      </c>
      <c r="C38" t="str">
        <v>New York</v>
      </c>
      <c r="D38" t="str">
        <v>San Francisco</v>
      </c>
      <c r="E38" t="str">
        <v>Chicago</v>
      </c>
      <c r="F38" t="str">
        <v>Austin</v>
      </c>
      <c r="G38" t="str">
        <v>New York</v>
      </c>
      <c r="H38" t="str">
        <v>Boston</v>
      </c>
      <c r="I38" t="str">
        <v>Chicago</v>
      </c>
      <c r="J38" t="str">
        <v>Austin</v>
      </c>
    </row>
    <row r="40" spans="1:10" x14ac:dyDescent="0.35">
      <c r="B40" t="s">
        <v>53</v>
      </c>
    </row>
    <row r="42" spans="1:10" x14ac:dyDescent="0.35">
      <c r="A42" t="s">
        <v>54</v>
      </c>
      <c r="B42" s="13">
        <f>HLOOKUP(C32,C32:J38,6,0)</f>
        <v>42125</v>
      </c>
    </row>
    <row r="44" spans="1:10" x14ac:dyDescent="0.35">
      <c r="A44" t="s">
        <v>55</v>
      </c>
    </row>
  </sheetData>
  <mergeCells count="9">
    <mergeCell ref="C29:E29"/>
    <mergeCell ref="B31:F31"/>
    <mergeCell ref="A11:F11"/>
    <mergeCell ref="A15:F15"/>
    <mergeCell ref="A18:E18"/>
    <mergeCell ref="A21:E21"/>
    <mergeCell ref="A25:F25"/>
    <mergeCell ref="A28:F28"/>
    <mergeCell ref="B12:E1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F688-DEBD-44D2-A509-A16A8AD5DEE0}">
  <dimension ref="A1:O41"/>
  <sheetViews>
    <sheetView workbookViewId="0">
      <selection activeCell="D14" sqref="D14"/>
    </sheetView>
  </sheetViews>
  <sheetFormatPr defaultRowHeight="14.5" x14ac:dyDescent="0.35"/>
  <cols>
    <col min="1" max="1" width="13.1796875" customWidth="1"/>
    <col min="2" max="2" width="15.08984375" customWidth="1"/>
    <col min="3" max="3" width="13.453125" customWidth="1"/>
    <col min="4" max="4" width="15.36328125" customWidth="1"/>
    <col min="5" max="5" width="11" customWidth="1"/>
    <col min="6" max="6" width="14.453125" customWidth="1"/>
    <col min="7" max="7" width="11.81640625" customWidth="1"/>
  </cols>
  <sheetData>
    <row r="1" spans="1:15" ht="15.5" x14ac:dyDescent="0.35">
      <c r="A1" s="9" t="s">
        <v>0</v>
      </c>
      <c r="B1" s="9" t="s">
        <v>1</v>
      </c>
      <c r="C1" s="10" t="s">
        <v>2</v>
      </c>
      <c r="D1" s="10" t="s">
        <v>3</v>
      </c>
      <c r="E1" s="11" t="s">
        <v>4</v>
      </c>
      <c r="F1" s="11" t="s">
        <v>5</v>
      </c>
      <c r="G1" s="11" t="s">
        <v>6</v>
      </c>
      <c r="H1" s="30" t="s">
        <v>68</v>
      </c>
      <c r="I1" s="30"/>
      <c r="J1" s="30"/>
      <c r="K1" s="30"/>
      <c r="L1" s="30"/>
      <c r="M1" s="30"/>
      <c r="N1" s="30"/>
      <c r="O1" s="30"/>
    </row>
    <row r="2" spans="1:15" x14ac:dyDescent="0.35">
      <c r="A2" s="4" t="s">
        <v>7</v>
      </c>
      <c r="B2" s="5" t="s">
        <v>15</v>
      </c>
      <c r="C2" s="6" t="s">
        <v>23</v>
      </c>
      <c r="D2" s="6" t="s">
        <v>27</v>
      </c>
      <c r="E2" s="7">
        <v>80000</v>
      </c>
      <c r="F2" s="8">
        <v>42125</v>
      </c>
      <c r="G2" s="7" t="s">
        <v>35</v>
      </c>
      <c r="H2" t="s">
        <v>72</v>
      </c>
      <c r="J2">
        <f>SUMIF(E2:E9,"&gt;75000")</f>
        <v>265000</v>
      </c>
    </row>
    <row r="3" spans="1:15" x14ac:dyDescent="0.35">
      <c r="A3" s="4" t="s">
        <v>8</v>
      </c>
      <c r="B3" s="5" t="s">
        <v>16</v>
      </c>
      <c r="C3" s="6" t="s">
        <v>24</v>
      </c>
      <c r="D3" s="6" t="s">
        <v>28</v>
      </c>
      <c r="E3" s="7">
        <v>75000</v>
      </c>
      <c r="F3" s="8">
        <v>43446</v>
      </c>
      <c r="G3" s="7" t="s">
        <v>36</v>
      </c>
    </row>
    <row r="4" spans="1:15" x14ac:dyDescent="0.35">
      <c r="A4" s="4" t="s">
        <v>9</v>
      </c>
      <c r="B4" s="5" t="s">
        <v>17</v>
      </c>
      <c r="C4" s="6" t="s">
        <v>25</v>
      </c>
      <c r="D4" s="6" t="s">
        <v>29</v>
      </c>
      <c r="E4" s="7">
        <v>68000</v>
      </c>
      <c r="F4" s="8">
        <v>42814</v>
      </c>
      <c r="G4" s="7" t="s">
        <v>37</v>
      </c>
      <c r="H4" s="30" t="s">
        <v>69</v>
      </c>
      <c r="I4" s="30"/>
      <c r="J4" s="30"/>
      <c r="K4" s="30"/>
      <c r="L4" s="30"/>
      <c r="M4" s="30"/>
      <c r="N4" s="30"/>
    </row>
    <row r="5" spans="1:15" x14ac:dyDescent="0.35">
      <c r="A5" s="4" t="s">
        <v>10</v>
      </c>
      <c r="B5" s="5" t="s">
        <v>18</v>
      </c>
      <c r="C5" s="6" t="s">
        <v>24</v>
      </c>
      <c r="D5" s="6" t="s">
        <v>30</v>
      </c>
      <c r="E5" s="7">
        <v>90000</v>
      </c>
      <c r="F5" s="8">
        <v>41470</v>
      </c>
      <c r="G5" s="7" t="s">
        <v>38</v>
      </c>
      <c r="I5">
        <f>SUMIFS(E2:E9,C2:C9,"=IT",F2:F9,"&gt;03-06-2013")</f>
        <v>260000</v>
      </c>
    </row>
    <row r="6" spans="1:15" x14ac:dyDescent="0.35">
      <c r="A6" s="4" t="s">
        <v>11</v>
      </c>
      <c r="B6" s="5" t="s">
        <v>19</v>
      </c>
      <c r="C6" s="6" t="s">
        <v>23</v>
      </c>
      <c r="D6" s="6" t="s">
        <v>31</v>
      </c>
      <c r="E6" s="7">
        <v>60000</v>
      </c>
      <c r="F6" s="8">
        <v>44082</v>
      </c>
      <c r="G6" s="7" t="s">
        <v>35</v>
      </c>
      <c r="H6" t="s">
        <v>73</v>
      </c>
      <c r="I6">
        <f>SUMIFS(E2:E9,C2:C9,"=HR",F2:F9,"&lt;01-01-2016")</f>
        <v>80000</v>
      </c>
    </row>
    <row r="7" spans="1:15" x14ac:dyDescent="0.35">
      <c r="A7" s="4" t="s">
        <v>12</v>
      </c>
      <c r="B7" s="5" t="s">
        <v>20</v>
      </c>
      <c r="C7" s="6" t="s">
        <v>26</v>
      </c>
      <c r="D7" s="6" t="s">
        <v>32</v>
      </c>
      <c r="E7" s="7">
        <v>72000</v>
      </c>
      <c r="F7" s="8">
        <v>42684</v>
      </c>
      <c r="G7" s="7" t="s">
        <v>39</v>
      </c>
    </row>
    <row r="8" spans="1:15" x14ac:dyDescent="0.35">
      <c r="A8" s="4" t="s">
        <v>13</v>
      </c>
      <c r="B8" s="5" t="s">
        <v>21</v>
      </c>
      <c r="C8" s="6" t="s">
        <v>25</v>
      </c>
      <c r="D8" s="6" t="s">
        <v>33</v>
      </c>
      <c r="E8" s="7">
        <v>65000</v>
      </c>
      <c r="F8" s="8">
        <v>43619</v>
      </c>
      <c r="G8" s="7" t="s">
        <v>37</v>
      </c>
      <c r="H8" s="30" t="s">
        <v>70</v>
      </c>
      <c r="I8" s="30"/>
      <c r="J8" s="30"/>
      <c r="K8" s="30"/>
      <c r="L8" s="30"/>
      <c r="M8" s="30"/>
    </row>
    <row r="9" spans="1:15" x14ac:dyDescent="0.35">
      <c r="A9" s="4" t="s">
        <v>14</v>
      </c>
      <c r="B9" s="5" t="s">
        <v>22</v>
      </c>
      <c r="C9" s="6" t="s">
        <v>24</v>
      </c>
      <c r="D9" s="6" t="s">
        <v>34</v>
      </c>
      <c r="E9" s="7">
        <v>95000</v>
      </c>
      <c r="F9" s="8">
        <v>41699</v>
      </c>
      <c r="G9" s="7" t="s">
        <v>38</v>
      </c>
    </row>
    <row r="10" spans="1:15" x14ac:dyDescent="0.35">
      <c r="A10" s="30" t="s">
        <v>56</v>
      </c>
      <c r="B10" s="30"/>
      <c r="C10" s="30"/>
      <c r="D10" s="30"/>
      <c r="E10" s="30"/>
      <c r="H10" t="s">
        <v>74</v>
      </c>
      <c r="I10">
        <f>COUNTIF(C2:C9,"=HR")</f>
        <v>2</v>
      </c>
    </row>
    <row r="11" spans="1:15" x14ac:dyDescent="0.35">
      <c r="C11">
        <f>SUM(E2:E9)</f>
        <v>605000</v>
      </c>
    </row>
    <row r="12" spans="1:15" x14ac:dyDescent="0.35">
      <c r="H12" s="30" t="s">
        <v>71</v>
      </c>
      <c r="I12" s="30"/>
      <c r="J12" s="30"/>
      <c r="K12" s="30"/>
      <c r="L12" s="30"/>
      <c r="M12" s="30"/>
      <c r="N12" s="30"/>
    </row>
    <row r="13" spans="1:15" x14ac:dyDescent="0.35">
      <c r="A13" s="30" t="s">
        <v>57</v>
      </c>
      <c r="B13" s="30"/>
      <c r="C13" s="30"/>
      <c r="D13" s="30"/>
    </row>
    <row r="14" spans="1:15" x14ac:dyDescent="0.35">
      <c r="B14">
        <f>AVERAGE(E2:E9)</f>
        <v>75625</v>
      </c>
      <c r="G14" t="s">
        <v>75</v>
      </c>
      <c r="I14">
        <f>COUNTIFS(C2:C9,"=IT",E2:E9,"&gt;65000")</f>
        <v>3</v>
      </c>
    </row>
    <row r="16" spans="1:15" x14ac:dyDescent="0.35">
      <c r="A16" s="30" t="s">
        <v>58</v>
      </c>
      <c r="B16" s="30"/>
      <c r="C16" s="30"/>
      <c r="D16" s="30"/>
    </row>
    <row r="17" spans="1:4" x14ac:dyDescent="0.35">
      <c r="C17">
        <f>MAX(E2:E9)</f>
        <v>95000</v>
      </c>
    </row>
    <row r="19" spans="1:4" x14ac:dyDescent="0.35">
      <c r="A19" s="30" t="s">
        <v>59</v>
      </c>
      <c r="B19" s="30"/>
      <c r="C19" s="30"/>
      <c r="D19" s="30"/>
    </row>
    <row r="20" spans="1:4" x14ac:dyDescent="0.35">
      <c r="B20">
        <f>MIN(E2:E9)</f>
        <v>60000</v>
      </c>
    </row>
    <row r="22" spans="1:4" x14ac:dyDescent="0.35">
      <c r="A22" s="30" t="s">
        <v>60</v>
      </c>
      <c r="B22" s="30"/>
      <c r="C22" s="30"/>
      <c r="D22" s="30"/>
    </row>
    <row r="23" spans="1:4" x14ac:dyDescent="0.35">
      <c r="B23">
        <f>MEDIAN(E2:E9)</f>
        <v>73500</v>
      </c>
    </row>
    <row r="25" spans="1:4" x14ac:dyDescent="0.35">
      <c r="A25" s="30" t="s">
        <v>61</v>
      </c>
      <c r="B25" s="30"/>
      <c r="C25" s="30"/>
      <c r="D25" s="30"/>
    </row>
    <row r="26" spans="1:4" x14ac:dyDescent="0.35">
      <c r="B26">
        <f>_xlfn.PERCENTILE.EXC(E2:E9,0.25)</f>
        <v>65750</v>
      </c>
    </row>
    <row r="28" spans="1:4" x14ac:dyDescent="0.35">
      <c r="A28" s="30" t="s">
        <v>62</v>
      </c>
      <c r="B28" s="30"/>
      <c r="C28" s="30"/>
      <c r="D28" s="30"/>
    </row>
    <row r="29" spans="1:4" x14ac:dyDescent="0.35">
      <c r="B29">
        <f>_xlfn.QUARTILE.EXC(E2:E9,3)</f>
        <v>87500</v>
      </c>
    </row>
    <row r="31" spans="1:4" x14ac:dyDescent="0.35">
      <c r="A31" s="30" t="s">
        <v>63</v>
      </c>
      <c r="B31" s="30"/>
      <c r="C31" s="30"/>
      <c r="D31" s="30"/>
    </row>
    <row r="32" spans="1:4" x14ac:dyDescent="0.35">
      <c r="B32" t="e">
        <f>_xlfn.MODE.SNGL(E2:E9)</f>
        <v>#N/A</v>
      </c>
      <c r="C32" t="s">
        <v>66</v>
      </c>
    </row>
    <row r="34" spans="1:4" x14ac:dyDescent="0.35">
      <c r="A34" s="30" t="s">
        <v>64</v>
      </c>
      <c r="B34" s="30"/>
      <c r="C34" s="30"/>
      <c r="D34" s="30"/>
    </row>
    <row r="35" spans="1:4" x14ac:dyDescent="0.35">
      <c r="B35">
        <f>_xlfn.VAR.S(E2:E9)</f>
        <v>147125000</v>
      </c>
    </row>
    <row r="36" spans="1:4" x14ac:dyDescent="0.35">
      <c r="B36">
        <f>_xlfn.VAR.P(E2:E9)</f>
        <v>128734375</v>
      </c>
    </row>
    <row r="37" spans="1:4" x14ac:dyDescent="0.35">
      <c r="A37" s="30" t="s">
        <v>65</v>
      </c>
      <c r="B37" s="30"/>
      <c r="C37" s="30"/>
      <c r="D37" s="30"/>
    </row>
    <row r="38" spans="1:4" x14ac:dyDescent="0.35">
      <c r="B38">
        <f>COUNT(E1:F9)</f>
        <v>16</v>
      </c>
    </row>
    <row r="40" spans="1:4" x14ac:dyDescent="0.35">
      <c r="A40" s="30" t="s">
        <v>67</v>
      </c>
      <c r="B40" s="30"/>
      <c r="C40" s="30"/>
      <c r="D40" s="30"/>
    </row>
    <row r="41" spans="1:4" x14ac:dyDescent="0.35">
      <c r="B41">
        <f>_xlfn.STDEV.P(E2:E9)</f>
        <v>11346.117177254957</v>
      </c>
    </row>
  </sheetData>
  <mergeCells count="15">
    <mergeCell ref="A28:D28"/>
    <mergeCell ref="A31:D31"/>
    <mergeCell ref="A34:D34"/>
    <mergeCell ref="A37:D37"/>
    <mergeCell ref="A40:D40"/>
    <mergeCell ref="H1:O1"/>
    <mergeCell ref="H4:N4"/>
    <mergeCell ref="H8:M8"/>
    <mergeCell ref="H12:N12"/>
    <mergeCell ref="A10:E10"/>
    <mergeCell ref="A13:D13"/>
    <mergeCell ref="A16:D16"/>
    <mergeCell ref="A19:D19"/>
    <mergeCell ref="A22:D22"/>
    <mergeCell ref="A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7B8F-3888-400F-B10C-6501A25499DB}">
  <dimension ref="A1:G46"/>
  <sheetViews>
    <sheetView workbookViewId="0">
      <selection sqref="A1:G9"/>
    </sheetView>
  </sheetViews>
  <sheetFormatPr defaultRowHeight="14.5" x14ac:dyDescent="0.35"/>
  <cols>
    <col min="2" max="2" width="12.1796875" customWidth="1"/>
    <col min="3" max="3" width="10.7265625" customWidth="1"/>
    <col min="4" max="4" width="10.81640625" customWidth="1"/>
    <col min="6" max="6" width="12.1796875" customWidth="1"/>
    <col min="7" max="7" width="12.54296875" customWidth="1"/>
  </cols>
  <sheetData>
    <row r="1" spans="1:7" ht="15.5" x14ac:dyDescent="0.35">
      <c r="A1" s="9" t="s">
        <v>0</v>
      </c>
      <c r="B1" s="9" t="s">
        <v>1</v>
      </c>
      <c r="C1" s="10" t="s">
        <v>2</v>
      </c>
      <c r="D1" s="10" t="s">
        <v>3</v>
      </c>
      <c r="E1" s="11" t="s">
        <v>4</v>
      </c>
      <c r="F1" s="11" t="s">
        <v>5</v>
      </c>
      <c r="G1" s="11" t="s">
        <v>6</v>
      </c>
    </row>
    <row r="2" spans="1:7" x14ac:dyDescent="0.35">
      <c r="A2" s="4" t="s">
        <v>7</v>
      </c>
      <c r="B2" s="5" t="s">
        <v>15</v>
      </c>
      <c r="C2" s="6" t="s">
        <v>23</v>
      </c>
      <c r="D2" s="6" t="s">
        <v>27</v>
      </c>
      <c r="E2" s="7">
        <v>80000</v>
      </c>
      <c r="F2" s="8">
        <v>42125</v>
      </c>
      <c r="G2" s="7" t="s">
        <v>35</v>
      </c>
    </row>
    <row r="3" spans="1:7" x14ac:dyDescent="0.35">
      <c r="A3" s="4" t="s">
        <v>8</v>
      </c>
      <c r="B3" s="5" t="s">
        <v>16</v>
      </c>
      <c r="C3" s="6" t="s">
        <v>24</v>
      </c>
      <c r="D3" s="6" t="s">
        <v>28</v>
      </c>
      <c r="E3" s="7">
        <v>75000</v>
      </c>
      <c r="F3" s="8">
        <v>43446</v>
      </c>
      <c r="G3" s="7" t="s">
        <v>36</v>
      </c>
    </row>
    <row r="4" spans="1:7" x14ac:dyDescent="0.35">
      <c r="A4" s="4" t="s">
        <v>9</v>
      </c>
      <c r="B4" s="5" t="s">
        <v>17</v>
      </c>
      <c r="C4" s="6" t="s">
        <v>25</v>
      </c>
      <c r="D4" s="6" t="s">
        <v>29</v>
      </c>
      <c r="E4" s="7">
        <v>68000</v>
      </c>
      <c r="F4" s="8">
        <v>42814</v>
      </c>
      <c r="G4" s="7" t="s">
        <v>37</v>
      </c>
    </row>
    <row r="5" spans="1:7" x14ac:dyDescent="0.35">
      <c r="A5" s="4" t="s">
        <v>10</v>
      </c>
      <c r="B5" s="5" t="s">
        <v>18</v>
      </c>
      <c r="C5" s="6" t="s">
        <v>24</v>
      </c>
      <c r="D5" s="6" t="s">
        <v>30</v>
      </c>
      <c r="E5" s="7">
        <v>90000</v>
      </c>
      <c r="F5" s="8">
        <v>41470</v>
      </c>
      <c r="G5" s="7" t="s">
        <v>38</v>
      </c>
    </row>
    <row r="6" spans="1:7" x14ac:dyDescent="0.35">
      <c r="A6" s="4" t="s">
        <v>11</v>
      </c>
      <c r="B6" s="5" t="s">
        <v>19</v>
      </c>
      <c r="C6" s="6" t="s">
        <v>23</v>
      </c>
      <c r="D6" s="6" t="s">
        <v>31</v>
      </c>
      <c r="E6" s="7">
        <v>60000</v>
      </c>
      <c r="F6" s="8">
        <v>44082</v>
      </c>
      <c r="G6" s="7" t="s">
        <v>35</v>
      </c>
    </row>
    <row r="7" spans="1:7" x14ac:dyDescent="0.35">
      <c r="A7" s="4" t="s">
        <v>12</v>
      </c>
      <c r="B7" s="5" t="s">
        <v>20</v>
      </c>
      <c r="C7" s="6" t="s">
        <v>26</v>
      </c>
      <c r="D7" s="6" t="s">
        <v>32</v>
      </c>
      <c r="E7" s="7">
        <v>72000</v>
      </c>
      <c r="F7" s="8">
        <v>42684</v>
      </c>
      <c r="G7" s="7" t="s">
        <v>39</v>
      </c>
    </row>
    <row r="8" spans="1:7" x14ac:dyDescent="0.35">
      <c r="A8" s="4" t="s">
        <v>13</v>
      </c>
      <c r="B8" s="5" t="s">
        <v>21</v>
      </c>
      <c r="C8" s="6" t="s">
        <v>25</v>
      </c>
      <c r="D8" s="6" t="s">
        <v>33</v>
      </c>
      <c r="E8" s="7">
        <v>65000</v>
      </c>
      <c r="F8" s="8">
        <v>43619</v>
      </c>
      <c r="G8" s="7" t="s">
        <v>37</v>
      </c>
    </row>
    <row r="9" spans="1:7" x14ac:dyDescent="0.35">
      <c r="A9" s="4" t="s">
        <v>14</v>
      </c>
      <c r="B9" s="5" t="s">
        <v>22</v>
      </c>
      <c r="C9" s="6" t="s">
        <v>24</v>
      </c>
      <c r="D9" s="6" t="s">
        <v>34</v>
      </c>
      <c r="E9" s="7">
        <v>95000</v>
      </c>
      <c r="F9" s="8">
        <v>41699</v>
      </c>
      <c r="G9" s="7" t="s">
        <v>38</v>
      </c>
    </row>
    <row r="10" spans="1:7" x14ac:dyDescent="0.35">
      <c r="A10" s="30" t="s">
        <v>79</v>
      </c>
      <c r="B10" s="30"/>
      <c r="C10" s="30"/>
      <c r="D10" s="30"/>
      <c r="E10" s="30"/>
      <c r="F10" s="30"/>
      <c r="G10" s="30"/>
    </row>
    <row r="11" spans="1:7" x14ac:dyDescent="0.35">
      <c r="C11" t="str">
        <f>LEFT(B2,3)</f>
        <v>Joh</v>
      </c>
    </row>
    <row r="13" spans="1:7" x14ac:dyDescent="0.35">
      <c r="A13" s="30" t="s">
        <v>76</v>
      </c>
      <c r="B13" s="30"/>
      <c r="C13" s="30"/>
      <c r="D13" s="30"/>
      <c r="E13" s="30"/>
      <c r="F13" s="30"/>
      <c r="G13" s="30"/>
    </row>
    <row r="14" spans="1:7" x14ac:dyDescent="0.35">
      <c r="C14" t="str">
        <f>RIGHT(B2,6)</f>
        <v xml:space="preserve"> Smith</v>
      </c>
    </row>
    <row r="16" spans="1:7" x14ac:dyDescent="0.35">
      <c r="A16" s="30" t="s">
        <v>77</v>
      </c>
      <c r="B16" s="30"/>
      <c r="C16" s="30"/>
      <c r="D16" s="30"/>
      <c r="E16" s="30"/>
      <c r="F16" s="30"/>
      <c r="G16" s="30"/>
    </row>
    <row r="17" spans="1:7" x14ac:dyDescent="0.35">
      <c r="C17" t="str">
        <f>MID(B2,3,9)</f>
        <v>hn Smith</v>
      </c>
    </row>
    <row r="19" spans="1:7" x14ac:dyDescent="0.35">
      <c r="A19" s="30" t="s">
        <v>78</v>
      </c>
      <c r="B19" s="30"/>
      <c r="C19" s="30"/>
      <c r="D19" s="30"/>
      <c r="E19" s="30"/>
      <c r="F19" s="30"/>
      <c r="G19" s="30"/>
    </row>
    <row r="20" spans="1:7" x14ac:dyDescent="0.35">
      <c r="C20" t="str">
        <f>CONCATENATE(B2,B3,B4)</f>
        <v>John SmithJane DoeSarah Brown</v>
      </c>
    </row>
    <row r="22" spans="1:7" x14ac:dyDescent="0.35">
      <c r="A22" s="30" t="s">
        <v>80</v>
      </c>
      <c r="B22" s="30"/>
      <c r="C22" s="30"/>
      <c r="D22" s="30"/>
      <c r="E22" s="30"/>
      <c r="F22" s="30"/>
      <c r="G22" s="30"/>
    </row>
    <row r="23" spans="1:7" x14ac:dyDescent="0.35">
      <c r="C23">
        <f>LEN(B2)</f>
        <v>10</v>
      </c>
    </row>
    <row r="25" spans="1:7" x14ac:dyDescent="0.35">
      <c r="A25" s="30" t="s">
        <v>81</v>
      </c>
      <c r="B25" s="30"/>
      <c r="C25" s="30"/>
      <c r="D25" s="30"/>
      <c r="E25" s="30"/>
      <c r="F25" s="30"/>
      <c r="G25" s="30"/>
    </row>
    <row r="26" spans="1:7" x14ac:dyDescent="0.35">
      <c r="C26" t="str">
        <f>UPPER(B2)</f>
        <v>JOHN SMITH</v>
      </c>
    </row>
    <row r="28" spans="1:7" x14ac:dyDescent="0.35">
      <c r="A28" s="30" t="s">
        <v>82</v>
      </c>
      <c r="B28" s="30"/>
      <c r="C28" s="30"/>
      <c r="D28" s="30"/>
      <c r="E28" s="30"/>
      <c r="F28" s="30"/>
      <c r="G28" s="30"/>
    </row>
    <row r="29" spans="1:7" x14ac:dyDescent="0.35">
      <c r="C29" t="str">
        <f>LOWER(B2)</f>
        <v>john smith</v>
      </c>
    </row>
    <row r="31" spans="1:7" x14ac:dyDescent="0.35">
      <c r="A31" s="30" t="s">
        <v>83</v>
      </c>
      <c r="B31" s="30"/>
      <c r="C31" s="30"/>
      <c r="D31" s="30"/>
      <c r="E31" s="30"/>
      <c r="F31" s="30"/>
      <c r="G31" s="30"/>
    </row>
    <row r="32" spans="1:7" x14ac:dyDescent="0.35">
      <c r="C32" t="str">
        <f>PROPER(B2)</f>
        <v>John Smith</v>
      </c>
    </row>
    <row r="33" spans="1:7" x14ac:dyDescent="0.35">
      <c r="G33" t="s">
        <v>85</v>
      </c>
    </row>
    <row r="34" spans="1:7" x14ac:dyDescent="0.35">
      <c r="A34" s="30" t="s">
        <v>84</v>
      </c>
      <c r="B34" s="30"/>
      <c r="C34" s="30"/>
      <c r="D34" s="30"/>
      <c r="E34" s="30"/>
      <c r="F34" s="30"/>
      <c r="G34" s="30"/>
    </row>
    <row r="35" spans="1:7" x14ac:dyDescent="0.35">
      <c r="C35" t="str">
        <f>TRIM(G33)</f>
        <v>kodi venu</v>
      </c>
    </row>
    <row r="36" spans="1:7" x14ac:dyDescent="0.35">
      <c r="C36">
        <f>LEN(C35)</f>
        <v>9</v>
      </c>
      <c r="G36">
        <f>LEN(G33)</f>
        <v>14</v>
      </c>
    </row>
    <row r="37" spans="1:7" x14ac:dyDescent="0.35">
      <c r="A37" s="30" t="s">
        <v>86</v>
      </c>
      <c r="B37" s="30"/>
      <c r="C37" s="30"/>
      <c r="D37" s="30"/>
      <c r="E37" s="30"/>
      <c r="F37" s="30"/>
      <c r="G37" s="30"/>
    </row>
    <row r="38" spans="1:7" x14ac:dyDescent="0.35">
      <c r="C38">
        <f>FIND("Doe",B3)</f>
        <v>6</v>
      </c>
    </row>
    <row r="40" spans="1:7" x14ac:dyDescent="0.35">
      <c r="A40" s="30" t="s">
        <v>87</v>
      </c>
      <c r="B40" s="30"/>
      <c r="C40" s="30"/>
      <c r="D40" s="30"/>
      <c r="E40" s="30"/>
      <c r="F40" s="30"/>
      <c r="G40" s="30"/>
    </row>
    <row r="41" spans="1:7" x14ac:dyDescent="0.35">
      <c r="C41">
        <f>SEARCH("DOE",B3)</f>
        <v>6</v>
      </c>
    </row>
    <row r="43" spans="1:7" x14ac:dyDescent="0.35">
      <c r="A43" s="30" t="s">
        <v>88</v>
      </c>
      <c r="B43" s="30"/>
      <c r="C43" s="30"/>
      <c r="D43" s="30"/>
      <c r="E43" s="30"/>
      <c r="F43" s="30"/>
      <c r="G43" s="30"/>
    </row>
    <row r="44" spans="1:7" x14ac:dyDescent="0.35">
      <c r="C44" t="str">
        <f>SUBSTITUTE(B2,"John","ut")</f>
        <v>ut Smith</v>
      </c>
    </row>
    <row r="46" spans="1:7" x14ac:dyDescent="0.35">
      <c r="C46" t="str">
        <f>SUBSTITUTE(B3,"Doe","sinny")</f>
        <v>Jane sinny</v>
      </c>
    </row>
  </sheetData>
  <mergeCells count="12">
    <mergeCell ref="A43:G43"/>
    <mergeCell ref="A10:G10"/>
    <mergeCell ref="A13:G13"/>
    <mergeCell ref="A16:G16"/>
    <mergeCell ref="A19:G19"/>
    <mergeCell ref="A22:G22"/>
    <mergeCell ref="A25:G25"/>
    <mergeCell ref="A28:G28"/>
    <mergeCell ref="A31:G31"/>
    <mergeCell ref="A34:G34"/>
    <mergeCell ref="A37:G37"/>
    <mergeCell ref="A40:G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E7E39-9148-4273-A882-B248BC601076}">
  <dimension ref="A1:N9"/>
  <sheetViews>
    <sheetView workbookViewId="0">
      <selection sqref="A1:G9"/>
    </sheetView>
  </sheetViews>
  <sheetFormatPr defaultRowHeight="14.5" x14ac:dyDescent="0.35"/>
  <cols>
    <col min="1" max="1" width="12.7265625" customWidth="1"/>
    <col min="2" max="2" width="11.81640625" customWidth="1"/>
    <col min="3" max="3" width="11.26953125" customWidth="1"/>
    <col min="4" max="4" width="10.1796875" customWidth="1"/>
    <col min="6" max="6" width="11.1796875" customWidth="1"/>
    <col min="7" max="7" width="12.36328125" customWidth="1"/>
  </cols>
  <sheetData>
    <row r="1" spans="1:14" ht="15.5" x14ac:dyDescent="0.35">
      <c r="A1" s="9" t="s">
        <v>0</v>
      </c>
      <c r="B1" s="9" t="s">
        <v>1</v>
      </c>
      <c r="C1" s="10" t="s">
        <v>2</v>
      </c>
      <c r="D1" s="10" t="s">
        <v>3</v>
      </c>
      <c r="E1" s="11" t="s">
        <v>4</v>
      </c>
      <c r="F1" s="11" t="s">
        <v>5</v>
      </c>
      <c r="G1" s="11" t="s">
        <v>6</v>
      </c>
      <c r="H1" s="11" t="s">
        <v>89</v>
      </c>
      <c r="I1" s="11" t="s">
        <v>90</v>
      </c>
      <c r="J1" s="11" t="s">
        <v>91</v>
      </c>
      <c r="K1" s="11" t="s">
        <v>92</v>
      </c>
      <c r="L1" s="11" t="s">
        <v>93</v>
      </c>
      <c r="M1" s="11" t="s">
        <v>94</v>
      </c>
      <c r="N1" s="11" t="s">
        <v>95</v>
      </c>
    </row>
    <row r="2" spans="1:14" x14ac:dyDescent="0.35">
      <c r="A2" s="4" t="s">
        <v>7</v>
      </c>
      <c r="B2" s="5" t="s">
        <v>15</v>
      </c>
      <c r="C2" s="6" t="s">
        <v>23</v>
      </c>
      <c r="D2" s="6" t="s">
        <v>27</v>
      </c>
      <c r="E2" s="7">
        <v>80000</v>
      </c>
      <c r="F2" s="8">
        <v>42125</v>
      </c>
      <c r="G2" s="7" t="s">
        <v>35</v>
      </c>
      <c r="H2" t="str">
        <f>IF(E2&gt;=72000,"YES","NO")</f>
        <v>YES</v>
      </c>
      <c r="I2" t="str" cm="1">
        <f t="array" ref="I2">_xlfn.IFS(E2&gt;=95000,"A",E2&gt;89000,"B",E2&gt;79000,"C",E2&gt;69000,"D",E2&gt;59000,"E")</f>
        <v>C</v>
      </c>
      <c r="J2" t="b">
        <f>AND(C2="HR",D2="Manager")</f>
        <v>1</v>
      </c>
      <c r="K2" t="b">
        <f>OR(C2="IT",D2="Analyst")</f>
        <v>0</v>
      </c>
      <c r="L2" t="b">
        <f>NOT(C2="Finance")</f>
        <v>1</v>
      </c>
      <c r="M2">
        <f>IFERROR(E2/E3,"Error")</f>
        <v>1.0666666666666667</v>
      </c>
      <c r="N2">
        <f>_xlfn.IFNA(E2-80000,"Lesser Value")</f>
        <v>0</v>
      </c>
    </row>
    <row r="3" spans="1:14" x14ac:dyDescent="0.35">
      <c r="A3" s="4" t="s">
        <v>8</v>
      </c>
      <c r="B3" s="5" t="s">
        <v>16</v>
      </c>
      <c r="C3" s="6" t="s">
        <v>24</v>
      </c>
      <c r="D3" s="6" t="s">
        <v>28</v>
      </c>
      <c r="E3" s="7">
        <v>75000</v>
      </c>
      <c r="F3" s="8">
        <v>43446</v>
      </c>
      <c r="G3" s="7" t="s">
        <v>36</v>
      </c>
      <c r="H3" t="str">
        <f t="shared" ref="H3:H9" si="0">IF(E3&gt;=72000,"YES","NO")</f>
        <v>YES</v>
      </c>
      <c r="I3" t="str" cm="1">
        <f t="array" ref="I3">_xlfn.IFS(E3&gt;=95000,"A",E3&gt;89000,"B",E3&gt;79000,"C",E3&gt;69000,"D",E3&gt;59000,"E")</f>
        <v>D</v>
      </c>
      <c r="J3" t="b">
        <f t="shared" ref="J3:J9" si="1">AND(C3="HR",D3="Manager")</f>
        <v>0</v>
      </c>
      <c r="K3" t="b">
        <f t="shared" ref="K3:K9" si="2">OR(C3="IT",D3="Analyst")</f>
        <v>1</v>
      </c>
      <c r="L3" t="b">
        <f t="shared" ref="L3:L9" si="3">NOT(C3="Finance")</f>
        <v>1</v>
      </c>
      <c r="M3">
        <f t="shared" ref="M3:M9" si="4">IFERROR(E3/E4,"Error")</f>
        <v>1.1029411764705883</v>
      </c>
      <c r="N3">
        <f t="shared" ref="N3:N9" si="5">_xlfn.IFNA(E3-80000,"Lesser Value")</f>
        <v>-5000</v>
      </c>
    </row>
    <row r="4" spans="1:14" x14ac:dyDescent="0.35">
      <c r="A4" s="4" t="s">
        <v>9</v>
      </c>
      <c r="B4" s="5" t="s">
        <v>17</v>
      </c>
      <c r="C4" s="6" t="s">
        <v>25</v>
      </c>
      <c r="D4" s="6" t="s">
        <v>29</v>
      </c>
      <c r="E4" s="7">
        <v>68000</v>
      </c>
      <c r="F4" s="8">
        <v>42814</v>
      </c>
      <c r="G4" s="7" t="s">
        <v>37</v>
      </c>
      <c r="H4" t="str">
        <f t="shared" si="0"/>
        <v>NO</v>
      </c>
      <c r="I4" t="str" cm="1">
        <f t="array" ref="I4">_xlfn.IFS(E4&gt;=95000,"A",E4&gt;89000,"B",E4&gt;79000,"C",E4&gt;69000,"D",E4&gt;59000,"E")</f>
        <v>E</v>
      </c>
      <c r="J4" t="b">
        <f t="shared" si="1"/>
        <v>0</v>
      </c>
      <c r="K4" t="b">
        <f t="shared" si="2"/>
        <v>1</v>
      </c>
      <c r="L4" t="b">
        <f t="shared" si="3"/>
        <v>1</v>
      </c>
      <c r="M4">
        <f t="shared" si="4"/>
        <v>0.75555555555555554</v>
      </c>
      <c r="N4">
        <f t="shared" si="5"/>
        <v>-12000</v>
      </c>
    </row>
    <row r="5" spans="1:14" x14ac:dyDescent="0.35">
      <c r="A5" s="4" t="s">
        <v>10</v>
      </c>
      <c r="B5" s="5" t="s">
        <v>18</v>
      </c>
      <c r="C5" s="6" t="s">
        <v>24</v>
      </c>
      <c r="D5" s="6" t="s">
        <v>30</v>
      </c>
      <c r="E5" s="7">
        <v>90000</v>
      </c>
      <c r="F5" s="8">
        <v>41470</v>
      </c>
      <c r="G5" s="7" t="s">
        <v>38</v>
      </c>
      <c r="H5" t="str">
        <f t="shared" si="0"/>
        <v>YES</v>
      </c>
      <c r="I5" t="str" cm="1">
        <f t="array" ref="I5">_xlfn.IFS(E5&gt;=95000,"A",E5&gt;89000,"B",E5&gt;79000,"C",E5&gt;69000,"D",E5&gt;59000,"E")</f>
        <v>B</v>
      </c>
      <c r="J5" t="b">
        <f t="shared" si="1"/>
        <v>0</v>
      </c>
      <c r="K5" t="b">
        <f t="shared" si="2"/>
        <v>1</v>
      </c>
      <c r="L5" t="b">
        <f t="shared" si="3"/>
        <v>1</v>
      </c>
      <c r="M5">
        <f t="shared" si="4"/>
        <v>1.5</v>
      </c>
      <c r="N5">
        <f t="shared" si="5"/>
        <v>10000</v>
      </c>
    </row>
    <row r="6" spans="1:14" x14ac:dyDescent="0.35">
      <c r="A6" s="4" t="s">
        <v>11</v>
      </c>
      <c r="B6" s="5" t="s">
        <v>19</v>
      </c>
      <c r="C6" s="6" t="s">
        <v>23</v>
      </c>
      <c r="D6" s="6" t="s">
        <v>31</v>
      </c>
      <c r="E6" s="7">
        <v>60000</v>
      </c>
      <c r="F6" s="8">
        <v>44082</v>
      </c>
      <c r="G6" s="7" t="s">
        <v>35</v>
      </c>
      <c r="H6" t="str">
        <f t="shared" si="0"/>
        <v>NO</v>
      </c>
      <c r="I6" t="str" cm="1">
        <f t="array" ref="I6">_xlfn.IFS(E6&gt;=95000,"A",E6&gt;89000,"B",E6&gt;79000,"C",E6&gt;69000,"D",E6&gt;59000,"E")</f>
        <v>E</v>
      </c>
      <c r="J6" t="b">
        <f t="shared" si="1"/>
        <v>0</v>
      </c>
      <c r="K6" t="b">
        <f t="shared" si="2"/>
        <v>0</v>
      </c>
      <c r="L6" t="b">
        <f t="shared" si="3"/>
        <v>1</v>
      </c>
      <c r="M6">
        <f t="shared" si="4"/>
        <v>0.83333333333333337</v>
      </c>
      <c r="N6">
        <f t="shared" si="5"/>
        <v>-20000</v>
      </c>
    </row>
    <row r="7" spans="1:14" x14ac:dyDescent="0.35">
      <c r="A7" s="4" t="s">
        <v>12</v>
      </c>
      <c r="B7" s="5" t="s">
        <v>20</v>
      </c>
      <c r="C7" s="6" t="s">
        <v>26</v>
      </c>
      <c r="D7" s="6" t="s">
        <v>32</v>
      </c>
      <c r="E7" s="7">
        <v>72000</v>
      </c>
      <c r="F7" s="8">
        <v>42684</v>
      </c>
      <c r="G7" s="7" t="s">
        <v>39</v>
      </c>
      <c r="H7" t="str">
        <f t="shared" si="0"/>
        <v>YES</v>
      </c>
      <c r="I7" t="str" cm="1">
        <f t="array" ref="I7">_xlfn.IFS(E7&gt;=95000,"A",E7&gt;89000,"B",E7&gt;79000,"C",E7&gt;69000,"D",E7&gt;59000,"E")</f>
        <v>D</v>
      </c>
      <c r="J7" t="b">
        <f t="shared" si="1"/>
        <v>0</v>
      </c>
      <c r="K7" t="b">
        <f t="shared" si="2"/>
        <v>0</v>
      </c>
      <c r="L7" t="b">
        <f t="shared" si="3"/>
        <v>0</v>
      </c>
      <c r="M7">
        <f t="shared" si="4"/>
        <v>1.1076923076923078</v>
      </c>
      <c r="N7">
        <f t="shared" si="5"/>
        <v>-8000</v>
      </c>
    </row>
    <row r="8" spans="1:14" x14ac:dyDescent="0.35">
      <c r="A8" s="4" t="s">
        <v>13</v>
      </c>
      <c r="B8" s="5" t="s">
        <v>21</v>
      </c>
      <c r="C8" s="6" t="s">
        <v>25</v>
      </c>
      <c r="D8" s="6" t="s">
        <v>33</v>
      </c>
      <c r="E8" s="7">
        <v>65000</v>
      </c>
      <c r="F8" s="8">
        <v>43619</v>
      </c>
      <c r="G8" s="7" t="s">
        <v>37</v>
      </c>
      <c r="H8" t="str">
        <f t="shared" si="0"/>
        <v>NO</v>
      </c>
      <c r="I8" t="str" cm="1">
        <f t="array" ref="I8">_xlfn.IFS(E8&gt;=95000,"A",E8&gt;89000,"B",E8&gt;79000,"C",E8&gt;69000,"D",E8&gt;59000,"E")</f>
        <v>E</v>
      </c>
      <c r="J8" t="b">
        <f t="shared" si="1"/>
        <v>0</v>
      </c>
      <c r="K8" t="b">
        <f t="shared" si="2"/>
        <v>0</v>
      </c>
      <c r="L8" t="b">
        <f t="shared" si="3"/>
        <v>1</v>
      </c>
      <c r="M8">
        <f t="shared" si="4"/>
        <v>0.68421052631578949</v>
      </c>
      <c r="N8">
        <f t="shared" si="5"/>
        <v>-15000</v>
      </c>
    </row>
    <row r="9" spans="1:14" x14ac:dyDescent="0.35">
      <c r="A9" s="4" t="s">
        <v>14</v>
      </c>
      <c r="B9" s="5" t="s">
        <v>22</v>
      </c>
      <c r="C9" s="6" t="s">
        <v>24</v>
      </c>
      <c r="D9" s="6" t="s">
        <v>34</v>
      </c>
      <c r="E9" s="7">
        <v>95000</v>
      </c>
      <c r="F9" s="8">
        <v>41699</v>
      </c>
      <c r="G9" s="7" t="s">
        <v>38</v>
      </c>
      <c r="H9" t="str">
        <f t="shared" si="0"/>
        <v>YES</v>
      </c>
      <c r="I9" t="str" cm="1">
        <f t="array" ref="I9">_xlfn.IFS(E9&gt;=95000,"A",E9&gt;89000,"B",E9&gt;79000,"C",E9&gt;69000,"D",E9&gt;59000,"E")</f>
        <v>A</v>
      </c>
      <c r="J9" t="b">
        <f t="shared" si="1"/>
        <v>0</v>
      </c>
      <c r="K9" t="b">
        <f t="shared" si="2"/>
        <v>1</v>
      </c>
      <c r="L9" t="b">
        <f t="shared" si="3"/>
        <v>1</v>
      </c>
      <c r="M9" t="str">
        <f t="shared" si="4"/>
        <v>Error</v>
      </c>
      <c r="N9">
        <f t="shared" si="5"/>
        <v>15000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09593-7B5D-4348-90D0-7DEA58493779}">
  <dimension ref="A1:J31"/>
  <sheetViews>
    <sheetView workbookViewId="0">
      <selection activeCell="C31" sqref="C31"/>
    </sheetView>
  </sheetViews>
  <sheetFormatPr defaultRowHeight="14.5" x14ac:dyDescent="0.35"/>
  <cols>
    <col min="1" max="1" width="13.36328125" customWidth="1"/>
    <col min="3" max="3" width="15.1796875" bestFit="1" customWidth="1"/>
    <col min="5" max="5" width="10.08984375" bestFit="1" customWidth="1"/>
    <col min="7" max="7" width="10.08984375" bestFit="1" customWidth="1"/>
    <col min="8" max="8" width="27.6328125" customWidth="1"/>
    <col min="9" max="10" width="10.08984375" bestFit="1" customWidth="1"/>
  </cols>
  <sheetData>
    <row r="1" spans="1:7" s="15" customFormat="1" x14ac:dyDescent="0.35">
      <c r="A1" s="15" t="s">
        <v>96</v>
      </c>
      <c r="C1" s="15" t="s">
        <v>97</v>
      </c>
      <c r="E1" s="15" t="s">
        <v>98</v>
      </c>
      <c r="G1" s="15" t="s">
        <v>99</v>
      </c>
    </row>
    <row r="3" spans="1:7" x14ac:dyDescent="0.35">
      <c r="A3" s="2">
        <f>DATE(2012,2,10)</f>
        <v>40949</v>
      </c>
      <c r="C3">
        <f>YEAR(A3)</f>
        <v>2012</v>
      </c>
      <c r="E3">
        <f>MONTH(A3)</f>
        <v>2</v>
      </c>
      <c r="G3">
        <f>DAY(A3)</f>
        <v>10</v>
      </c>
    </row>
    <row r="4" spans="1:7" x14ac:dyDescent="0.35">
      <c r="A4" s="2">
        <f>DATE(2025,5,8)</f>
        <v>45785</v>
      </c>
      <c r="C4">
        <f>YEAR(A4)</f>
        <v>2025</v>
      </c>
      <c r="E4">
        <f>MONTH(A4)</f>
        <v>5</v>
      </c>
      <c r="G4">
        <f>DAY(A4)</f>
        <v>8</v>
      </c>
    </row>
    <row r="6" spans="1:7" s="14" customFormat="1" x14ac:dyDescent="0.35">
      <c r="A6" s="15" t="s">
        <v>100</v>
      </c>
      <c r="C6" s="15" t="s">
        <v>101</v>
      </c>
      <c r="E6" s="15" t="s">
        <v>102</v>
      </c>
      <c r="G6" s="15" t="s">
        <v>103</v>
      </c>
    </row>
    <row r="8" spans="1:7" x14ac:dyDescent="0.35">
      <c r="A8" s="16">
        <f>TIME(14,59,58)</f>
        <v>0.62497685185185181</v>
      </c>
      <c r="C8">
        <f>HOUR(A8)</f>
        <v>14</v>
      </c>
      <c r="E8">
        <f>MINUTE(A8)</f>
        <v>59</v>
      </c>
      <c r="G8">
        <f>SECOND(A8)</f>
        <v>58</v>
      </c>
    </row>
    <row r="9" spans="1:7" x14ac:dyDescent="0.35">
      <c r="A9" s="16">
        <f>TIME(2,2,2)</f>
        <v>8.4745370370370374E-2</v>
      </c>
      <c r="C9">
        <f>HOUR(A9)</f>
        <v>2</v>
      </c>
      <c r="E9">
        <f>MINUTE(A9)</f>
        <v>2</v>
      </c>
      <c r="G9">
        <f>SECOND(A9)</f>
        <v>2</v>
      </c>
    </row>
    <row r="12" spans="1:7" x14ac:dyDescent="0.35">
      <c r="A12" s="14" t="s">
        <v>104</v>
      </c>
      <c r="C12" s="2">
        <f ca="1">TODAY()</f>
        <v>45644</v>
      </c>
    </row>
    <row r="14" spans="1:7" x14ac:dyDescent="0.35">
      <c r="A14" s="14" t="s">
        <v>105</v>
      </c>
      <c r="C14" s="17">
        <f ca="1">NOW()</f>
        <v>45644.916368402781</v>
      </c>
    </row>
    <row r="17" spans="1:10" x14ac:dyDescent="0.35">
      <c r="A17" s="14" t="s">
        <v>106</v>
      </c>
      <c r="C17">
        <f>DATEDIF(A3,A4,"D")</f>
        <v>4836</v>
      </c>
      <c r="D17">
        <f>DATEDIF(A3,A4,"M")</f>
        <v>158</v>
      </c>
      <c r="E17">
        <f>DATEDIF(A3,A4,"Y")</f>
        <v>13</v>
      </c>
      <c r="G17">
        <f>DATEDIF(H27,J27,"m")</f>
        <v>4</v>
      </c>
    </row>
    <row r="20" spans="1:10" x14ac:dyDescent="0.35">
      <c r="A20" s="14" t="s">
        <v>107</v>
      </c>
      <c r="C20" s="2">
        <f>DATEVALUE("2024-12-15")</f>
        <v>45641</v>
      </c>
      <c r="H20" s="18" t="s">
        <v>113</v>
      </c>
      <c r="I20" s="13">
        <f>DATEVALUE("16-04-2024")+142</f>
        <v>45540</v>
      </c>
    </row>
    <row r="23" spans="1:10" x14ac:dyDescent="0.35">
      <c r="A23" s="20" t="s">
        <v>108</v>
      </c>
      <c r="C23" s="22">
        <f>TIMEVALUE("12:20")</f>
        <v>0.51388888888888884</v>
      </c>
      <c r="H23" s="21" t="s">
        <v>114</v>
      </c>
    </row>
    <row r="25" spans="1:10" x14ac:dyDescent="0.35">
      <c r="A25" s="19" t="s">
        <v>109</v>
      </c>
      <c r="C25" s="13">
        <f ca="1">EDATE(C14,2)</f>
        <v>45706</v>
      </c>
      <c r="E25" s="13">
        <f ca="1">EDATE(C12,-2)</f>
        <v>45583</v>
      </c>
    </row>
    <row r="27" spans="1:10" x14ac:dyDescent="0.35">
      <c r="A27" s="19" t="s">
        <v>110</v>
      </c>
      <c r="C27" s="13">
        <f ca="1">EOMONTH(C12,2)</f>
        <v>45716</v>
      </c>
      <c r="E27" s="13">
        <f ca="1">EOMONTH(C12,-3)</f>
        <v>45565</v>
      </c>
      <c r="H27" s="2">
        <v>45398</v>
      </c>
      <c r="J27" s="2">
        <v>45540</v>
      </c>
    </row>
    <row r="29" spans="1:10" x14ac:dyDescent="0.35">
      <c r="A29" s="19" t="s">
        <v>111</v>
      </c>
      <c r="C29" s="13">
        <f>WORKDAY("5-9-2024","7")</f>
        <v>45551</v>
      </c>
      <c r="E29" s="13">
        <f>WORKDAY(H27,142)</f>
        <v>45596</v>
      </c>
      <c r="G29" s="13">
        <f>WORKDAY(H27,103)</f>
        <v>45541</v>
      </c>
      <c r="H29" s="2">
        <f>H27+142</f>
        <v>45540</v>
      </c>
    </row>
    <row r="31" spans="1:10" x14ac:dyDescent="0.35">
      <c r="A31" s="19" t="s">
        <v>112</v>
      </c>
      <c r="C31">
        <f ca="1">NETWORKDAYS(E25,C25)</f>
        <v>88</v>
      </c>
      <c r="E31">
        <f>NETWORKDAYS(H27,J27,"05-10-2024")</f>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83054-8A4A-4928-8914-BBBF43E8CFC4}">
  <dimension ref="A1:N13"/>
  <sheetViews>
    <sheetView workbookViewId="0">
      <selection activeCell="E4" sqref="E4"/>
    </sheetView>
  </sheetViews>
  <sheetFormatPr defaultRowHeight="14.5" x14ac:dyDescent="0.35"/>
  <cols>
    <col min="1" max="1" width="13.08984375" customWidth="1"/>
    <col min="2" max="2" width="11.26953125" customWidth="1"/>
    <col min="3" max="3" width="11.7265625" customWidth="1"/>
    <col min="4" max="4" width="12" customWidth="1"/>
    <col min="5" max="5" width="13.453125" customWidth="1"/>
    <col min="12" max="12" width="9.81640625" customWidth="1"/>
  </cols>
  <sheetData>
    <row r="1" spans="1:14" x14ac:dyDescent="0.35">
      <c r="B1" s="23"/>
      <c r="C1" s="24" t="s">
        <v>115</v>
      </c>
      <c r="D1" s="24" t="s">
        <v>116</v>
      </c>
      <c r="E1" s="24" t="s">
        <v>117</v>
      </c>
      <c r="F1" s="24" t="s">
        <v>118</v>
      </c>
      <c r="G1" s="24" t="s">
        <v>119</v>
      </c>
      <c r="H1" s="24" t="s">
        <v>120</v>
      </c>
      <c r="I1" s="24" t="s">
        <v>121</v>
      </c>
      <c r="J1" s="24" t="s">
        <v>122</v>
      </c>
      <c r="K1" s="24" t="s">
        <v>123</v>
      </c>
      <c r="L1" s="24" t="s">
        <v>124</v>
      </c>
      <c r="M1" s="24" t="s">
        <v>125</v>
      </c>
      <c r="N1" s="24" t="s">
        <v>126</v>
      </c>
    </row>
    <row r="4" spans="1:14" x14ac:dyDescent="0.35">
      <c r="A4" s="23">
        <v>10.11</v>
      </c>
      <c r="C4">
        <f>ROUND(A4,2)</f>
        <v>10.11</v>
      </c>
      <c r="D4">
        <f>ROUNDUP(A4,1)</f>
        <v>10.199999999999999</v>
      </c>
      <c r="E4">
        <f>ROUNDDOWN(A4,0)</f>
        <v>10</v>
      </c>
      <c r="F4">
        <f>SQRT(A4)</f>
        <v>3.179622619116929</v>
      </c>
      <c r="G4">
        <f>POWER(A4,2)</f>
        <v>102.21209999999999</v>
      </c>
      <c r="H4">
        <f>ABS(A4)</f>
        <v>10.11</v>
      </c>
      <c r="I4">
        <f>_xlfn.CEILING.MATH(A4,5)</f>
        <v>15</v>
      </c>
      <c r="J4">
        <f>_xlfn.FLOOR.MATH(A4,5)</f>
        <v>10</v>
      </c>
      <c r="K4">
        <f>INT(A4)</f>
        <v>10</v>
      </c>
      <c r="L4">
        <f>EXP(A4)</f>
        <v>24587.660736455156</v>
      </c>
      <c r="M4">
        <f>LOG(A4,2)</f>
        <v>3.3377110921282895</v>
      </c>
      <c r="N4">
        <f>MOD(A4,3)</f>
        <v>1.1099999999999994</v>
      </c>
    </row>
    <row r="5" spans="1:14" x14ac:dyDescent="0.35">
      <c r="A5">
        <v>20.332999999999998</v>
      </c>
      <c r="C5">
        <f t="shared" ref="C5:C13" si="0">ROUND(A5,2)</f>
        <v>20.329999999999998</v>
      </c>
      <c r="D5">
        <f t="shared" ref="D5:D13" si="1">ROUNDUP(A5,1)</f>
        <v>20.400000000000002</v>
      </c>
      <c r="E5">
        <f t="shared" ref="E5:E13" si="2">ROUNDDOWN(A5,0)</f>
        <v>20</v>
      </c>
      <c r="F5">
        <f t="shared" ref="F5:F13" si="3">SQRT(A5)</f>
        <v>4.5092127916078653</v>
      </c>
      <c r="G5">
        <f t="shared" ref="G5:G13" si="4">POWER(A5,2)</f>
        <v>413.43088899999992</v>
      </c>
      <c r="H5">
        <f t="shared" ref="H5:H13" si="5">ABS(A5)</f>
        <v>20.332999999999998</v>
      </c>
      <c r="I5">
        <f t="shared" ref="I5:I13" si="6">_xlfn.CEILING.MATH(A5,5)</f>
        <v>25</v>
      </c>
      <c r="J5">
        <f t="shared" ref="J5:J13" si="7">_xlfn.FLOOR.MATH(A5,5)</f>
        <v>20</v>
      </c>
      <c r="K5">
        <f t="shared" ref="K5:K13" si="8">INT(A5)</f>
        <v>20</v>
      </c>
      <c r="L5">
        <f t="shared" ref="L5:L13" si="9">EXP(A5)</f>
        <v>676876911.6875422</v>
      </c>
      <c r="M5">
        <f t="shared" ref="M5:M13" si="10">LOG(A5,2)</f>
        <v>4.3457511859094939</v>
      </c>
      <c r="N5">
        <f t="shared" ref="N5:N13" si="11">MOD(A5,3)</f>
        <v>2.3329999999999984</v>
      </c>
    </row>
    <row r="6" spans="1:14" x14ac:dyDescent="0.35">
      <c r="A6">
        <v>20.3</v>
      </c>
      <c r="C6">
        <f t="shared" si="0"/>
        <v>20.3</v>
      </c>
      <c r="D6">
        <f t="shared" si="1"/>
        <v>20.3</v>
      </c>
      <c r="E6">
        <f t="shared" si="2"/>
        <v>20</v>
      </c>
      <c r="F6">
        <f t="shared" si="3"/>
        <v>4.5055521304275237</v>
      </c>
      <c r="G6">
        <f t="shared" si="4"/>
        <v>412.09000000000003</v>
      </c>
      <c r="H6">
        <f t="shared" si="5"/>
        <v>20.3</v>
      </c>
      <c r="I6">
        <f t="shared" si="6"/>
        <v>25</v>
      </c>
      <c r="J6">
        <f t="shared" si="7"/>
        <v>20</v>
      </c>
      <c r="K6">
        <f t="shared" si="8"/>
        <v>20</v>
      </c>
      <c r="L6">
        <f t="shared" si="9"/>
        <v>654904512.15323853</v>
      </c>
      <c r="M6">
        <f t="shared" si="10"/>
        <v>4.3434078222978139</v>
      </c>
      <c r="N6">
        <f t="shared" si="11"/>
        <v>2.3000000000000007</v>
      </c>
    </row>
    <row r="7" spans="1:14" x14ac:dyDescent="0.35">
      <c r="A7">
        <v>150</v>
      </c>
      <c r="C7">
        <f t="shared" si="0"/>
        <v>150</v>
      </c>
      <c r="D7">
        <f t="shared" si="1"/>
        <v>150</v>
      </c>
      <c r="E7">
        <f t="shared" si="2"/>
        <v>150</v>
      </c>
      <c r="F7">
        <f t="shared" si="3"/>
        <v>12.24744871391589</v>
      </c>
      <c r="G7">
        <f t="shared" si="4"/>
        <v>22500</v>
      </c>
      <c r="H7">
        <f t="shared" si="5"/>
        <v>150</v>
      </c>
      <c r="I7">
        <f t="shared" si="6"/>
        <v>150</v>
      </c>
      <c r="J7">
        <f t="shared" si="7"/>
        <v>150</v>
      </c>
      <c r="K7">
        <f t="shared" si="8"/>
        <v>150</v>
      </c>
      <c r="L7">
        <f t="shared" si="9"/>
        <v>1.3937095806663797E+65</v>
      </c>
      <c r="M7">
        <f t="shared" si="10"/>
        <v>7.2288186904958804</v>
      </c>
      <c r="N7">
        <f t="shared" si="11"/>
        <v>0</v>
      </c>
    </row>
    <row r="8" spans="1:14" x14ac:dyDescent="0.35">
      <c r="A8">
        <v>126</v>
      </c>
      <c r="C8">
        <f t="shared" si="0"/>
        <v>126</v>
      </c>
      <c r="D8">
        <f t="shared" si="1"/>
        <v>126</v>
      </c>
      <c r="E8">
        <f t="shared" si="2"/>
        <v>126</v>
      </c>
      <c r="F8">
        <f t="shared" si="3"/>
        <v>11.224972160321824</v>
      </c>
      <c r="G8">
        <f t="shared" si="4"/>
        <v>15876</v>
      </c>
      <c r="H8">
        <f t="shared" si="5"/>
        <v>126</v>
      </c>
      <c r="I8">
        <f t="shared" si="6"/>
        <v>130</v>
      </c>
      <c r="J8">
        <f t="shared" si="7"/>
        <v>125</v>
      </c>
      <c r="K8">
        <f t="shared" si="8"/>
        <v>126</v>
      </c>
      <c r="L8">
        <f t="shared" si="9"/>
        <v>5.261441182666386E+54</v>
      </c>
      <c r="M8">
        <f t="shared" si="10"/>
        <v>6.9772799234999168</v>
      </c>
      <c r="N8">
        <f t="shared" si="11"/>
        <v>0</v>
      </c>
    </row>
    <row r="9" spans="1:14" x14ac:dyDescent="0.35">
      <c r="A9">
        <v>143</v>
      </c>
      <c r="C9">
        <f t="shared" si="0"/>
        <v>143</v>
      </c>
      <c r="D9">
        <f t="shared" si="1"/>
        <v>143</v>
      </c>
      <c r="E9">
        <f t="shared" si="2"/>
        <v>143</v>
      </c>
      <c r="F9">
        <f t="shared" si="3"/>
        <v>11.958260743101398</v>
      </c>
      <c r="G9">
        <f t="shared" si="4"/>
        <v>20449</v>
      </c>
      <c r="H9">
        <f t="shared" si="5"/>
        <v>143</v>
      </c>
      <c r="I9">
        <f t="shared" si="6"/>
        <v>145</v>
      </c>
      <c r="J9">
        <f t="shared" si="7"/>
        <v>140</v>
      </c>
      <c r="K9">
        <f t="shared" si="8"/>
        <v>143</v>
      </c>
      <c r="L9">
        <f t="shared" si="9"/>
        <v>1.2708986318302189E+62</v>
      </c>
      <c r="M9">
        <f t="shared" si="10"/>
        <v>7.1598713367783891</v>
      </c>
      <c r="N9">
        <f t="shared" si="11"/>
        <v>2</v>
      </c>
    </row>
    <row r="10" spans="1:14" x14ac:dyDescent="0.35">
      <c r="A10">
        <v>134</v>
      </c>
      <c r="C10">
        <f t="shared" si="0"/>
        <v>134</v>
      </c>
      <c r="D10">
        <f t="shared" si="1"/>
        <v>134</v>
      </c>
      <c r="E10">
        <f t="shared" si="2"/>
        <v>134</v>
      </c>
      <c r="F10">
        <f t="shared" si="3"/>
        <v>11.575836902790225</v>
      </c>
      <c r="G10">
        <f t="shared" si="4"/>
        <v>17956</v>
      </c>
      <c r="H10">
        <f t="shared" si="5"/>
        <v>134</v>
      </c>
      <c r="I10">
        <f t="shared" si="6"/>
        <v>135</v>
      </c>
      <c r="J10">
        <f t="shared" si="7"/>
        <v>130</v>
      </c>
      <c r="K10">
        <f t="shared" si="8"/>
        <v>134</v>
      </c>
      <c r="L10">
        <f t="shared" si="9"/>
        <v>1.568413511681964E+58</v>
      </c>
      <c r="M10">
        <f t="shared" si="10"/>
        <v>7.0660891904577721</v>
      </c>
      <c r="N10">
        <f t="shared" si="11"/>
        <v>2</v>
      </c>
    </row>
    <row r="11" spans="1:14" x14ac:dyDescent="0.35">
      <c r="A11">
        <v>413</v>
      </c>
      <c r="C11">
        <f t="shared" si="0"/>
        <v>413</v>
      </c>
      <c r="D11">
        <f t="shared" si="1"/>
        <v>413</v>
      </c>
      <c r="E11">
        <f t="shared" si="2"/>
        <v>413</v>
      </c>
      <c r="F11">
        <f t="shared" si="3"/>
        <v>20.322401432901575</v>
      </c>
      <c r="G11">
        <f t="shared" si="4"/>
        <v>170569</v>
      </c>
      <c r="H11">
        <f t="shared" si="5"/>
        <v>413</v>
      </c>
      <c r="I11">
        <f t="shared" si="6"/>
        <v>415</v>
      </c>
      <c r="J11">
        <f t="shared" si="7"/>
        <v>410</v>
      </c>
      <c r="K11">
        <f t="shared" si="8"/>
        <v>413</v>
      </c>
      <c r="L11">
        <f t="shared" si="9"/>
        <v>2.3100481167203208E+179</v>
      </c>
      <c r="M11">
        <f t="shared" si="10"/>
        <v>8.6899979714194462</v>
      </c>
      <c r="N11">
        <f t="shared" si="11"/>
        <v>2</v>
      </c>
    </row>
    <row r="12" spans="1:14" x14ac:dyDescent="0.35">
      <c r="A12">
        <v>31.54</v>
      </c>
      <c r="C12">
        <f t="shared" si="0"/>
        <v>31.54</v>
      </c>
      <c r="D12">
        <f t="shared" si="1"/>
        <v>31.6</v>
      </c>
      <c r="E12">
        <f t="shared" si="2"/>
        <v>31</v>
      </c>
      <c r="F12">
        <f t="shared" si="3"/>
        <v>5.6160484328395883</v>
      </c>
      <c r="G12">
        <f t="shared" si="4"/>
        <v>994.77159999999992</v>
      </c>
      <c r="H12">
        <f t="shared" si="5"/>
        <v>31.54</v>
      </c>
      <c r="I12">
        <f t="shared" si="6"/>
        <v>35</v>
      </c>
      <c r="J12">
        <f t="shared" si="7"/>
        <v>30</v>
      </c>
      <c r="K12">
        <f t="shared" si="8"/>
        <v>31</v>
      </c>
      <c r="L12">
        <f t="shared" si="9"/>
        <v>49848025364140.867</v>
      </c>
      <c r="M12">
        <f t="shared" si="10"/>
        <v>4.9791107550157854</v>
      </c>
      <c r="N12">
        <f t="shared" si="11"/>
        <v>1.5399999999999991</v>
      </c>
    </row>
    <row r="13" spans="1:14" x14ac:dyDescent="0.35">
      <c r="A13">
        <v>1000</v>
      </c>
      <c r="C13">
        <f t="shared" si="0"/>
        <v>1000</v>
      </c>
      <c r="D13">
        <f t="shared" si="1"/>
        <v>1000</v>
      </c>
      <c r="E13">
        <f t="shared" si="2"/>
        <v>1000</v>
      </c>
      <c r="F13">
        <f t="shared" si="3"/>
        <v>31.622776601683793</v>
      </c>
      <c r="G13">
        <f t="shared" si="4"/>
        <v>1000000</v>
      </c>
      <c r="H13">
        <f t="shared" si="5"/>
        <v>1000</v>
      </c>
      <c r="I13">
        <f t="shared" si="6"/>
        <v>1000</v>
      </c>
      <c r="J13">
        <f t="shared" si="7"/>
        <v>1000</v>
      </c>
      <c r="K13">
        <f t="shared" si="8"/>
        <v>1000</v>
      </c>
      <c r="L13" t="e">
        <f t="shared" si="9"/>
        <v>#NUM!</v>
      </c>
      <c r="M13">
        <f t="shared" si="10"/>
        <v>9.965784284662087</v>
      </c>
      <c r="N13">
        <f t="shared" si="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430E-1D6D-4E78-A4E5-CEB0AC9E78A9}">
  <dimension ref="A1:I21"/>
  <sheetViews>
    <sheetView workbookViewId="0">
      <selection sqref="A1:G9"/>
    </sheetView>
  </sheetViews>
  <sheetFormatPr defaultRowHeight="14.5" x14ac:dyDescent="0.35"/>
  <cols>
    <col min="1" max="1" width="11.90625" customWidth="1"/>
    <col min="2" max="2" width="13.26953125" customWidth="1"/>
    <col min="3" max="3" width="11.90625" customWidth="1"/>
    <col min="4" max="4" width="15.1796875" customWidth="1"/>
    <col min="6" max="6" width="12.6328125" customWidth="1"/>
    <col min="7" max="7" width="13.81640625" customWidth="1"/>
    <col min="8" max="8" width="12.81640625" customWidth="1"/>
    <col min="9" max="9" width="12.453125" customWidth="1"/>
  </cols>
  <sheetData>
    <row r="1" spans="1:9" ht="15.5" x14ac:dyDescent="0.35">
      <c r="A1" s="9" t="s">
        <v>0</v>
      </c>
      <c r="B1" s="9" t="s">
        <v>1</v>
      </c>
      <c r="C1" s="10" t="s">
        <v>2</v>
      </c>
      <c r="D1" s="10" t="s">
        <v>3</v>
      </c>
      <c r="E1" s="11" t="s">
        <v>4</v>
      </c>
      <c r="F1" s="11" t="s">
        <v>5</v>
      </c>
      <c r="G1" s="11" t="s">
        <v>6</v>
      </c>
      <c r="H1" s="11" t="s">
        <v>131</v>
      </c>
      <c r="I1" s="11" t="s">
        <v>132</v>
      </c>
    </row>
    <row r="2" spans="1:9" x14ac:dyDescent="0.35">
      <c r="A2" s="4" t="s">
        <v>7</v>
      </c>
      <c r="B2" s="5" t="s">
        <v>15</v>
      </c>
      <c r="C2" s="6" t="s">
        <v>23</v>
      </c>
      <c r="D2" s="6" t="s">
        <v>27</v>
      </c>
      <c r="E2" s="7">
        <v>80000</v>
      </c>
      <c r="F2" s="8">
        <v>42125</v>
      </c>
      <c r="G2" s="7" t="s">
        <v>35</v>
      </c>
      <c r="H2">
        <f>SUM(E2)</f>
        <v>80000</v>
      </c>
      <c r="I2">
        <f>E2/$E$10</f>
        <v>0.13223140495867769</v>
      </c>
    </row>
    <row r="3" spans="1:9" x14ac:dyDescent="0.35">
      <c r="A3" s="4" t="s">
        <v>8</v>
      </c>
      <c r="B3" s="5" t="s">
        <v>16</v>
      </c>
      <c r="C3" s="6" t="s">
        <v>24</v>
      </c>
      <c r="D3" s="6" t="s">
        <v>28</v>
      </c>
      <c r="E3" s="7">
        <v>75000</v>
      </c>
      <c r="F3" s="8">
        <v>43446</v>
      </c>
      <c r="G3" s="7" t="s">
        <v>36</v>
      </c>
      <c r="H3">
        <f>SUM(E2:E3)</f>
        <v>155000</v>
      </c>
      <c r="I3">
        <f t="shared" ref="I3:I9" si="0">E3/$E$10</f>
        <v>0.12396694214876033</v>
      </c>
    </row>
    <row r="4" spans="1:9" x14ac:dyDescent="0.35">
      <c r="A4" s="4" t="s">
        <v>9</v>
      </c>
      <c r="B4" s="5" t="s">
        <v>17</v>
      </c>
      <c r="C4" s="6" t="s">
        <v>25</v>
      </c>
      <c r="D4" s="6" t="s">
        <v>29</v>
      </c>
      <c r="E4" s="7">
        <v>68000</v>
      </c>
      <c r="F4" s="8">
        <v>42814</v>
      </c>
      <c r="G4" s="7" t="s">
        <v>37</v>
      </c>
      <c r="H4">
        <f t="shared" ref="H4:H9" si="1">SUM(E3:E4)</f>
        <v>143000</v>
      </c>
      <c r="I4">
        <f t="shared" si="0"/>
        <v>0.11239669421487604</v>
      </c>
    </row>
    <row r="5" spans="1:9" x14ac:dyDescent="0.35">
      <c r="A5" s="4" t="s">
        <v>10</v>
      </c>
      <c r="B5" s="5" t="s">
        <v>18</v>
      </c>
      <c r="C5" s="6" t="s">
        <v>24</v>
      </c>
      <c r="D5" s="6" t="s">
        <v>30</v>
      </c>
      <c r="E5" s="7">
        <v>90000</v>
      </c>
      <c r="F5" s="8">
        <v>41470</v>
      </c>
      <c r="G5" s="7" t="s">
        <v>38</v>
      </c>
      <c r="H5">
        <f t="shared" si="1"/>
        <v>158000</v>
      </c>
      <c r="I5">
        <f t="shared" si="0"/>
        <v>0.1487603305785124</v>
      </c>
    </row>
    <row r="6" spans="1:9" x14ac:dyDescent="0.35">
      <c r="A6" s="4" t="s">
        <v>11</v>
      </c>
      <c r="B6" s="5" t="s">
        <v>19</v>
      </c>
      <c r="C6" s="6" t="s">
        <v>23</v>
      </c>
      <c r="D6" s="6" t="s">
        <v>31</v>
      </c>
      <c r="E6" s="7">
        <v>60000</v>
      </c>
      <c r="F6" s="8">
        <v>44082</v>
      </c>
      <c r="G6" s="7" t="s">
        <v>35</v>
      </c>
      <c r="H6">
        <f t="shared" si="1"/>
        <v>150000</v>
      </c>
      <c r="I6">
        <f t="shared" si="0"/>
        <v>9.9173553719008267E-2</v>
      </c>
    </row>
    <row r="7" spans="1:9" x14ac:dyDescent="0.35">
      <c r="A7" s="4" t="s">
        <v>12</v>
      </c>
      <c r="B7" s="5" t="s">
        <v>20</v>
      </c>
      <c r="C7" s="6" t="s">
        <v>26</v>
      </c>
      <c r="D7" s="6" t="s">
        <v>32</v>
      </c>
      <c r="E7" s="7">
        <v>72000</v>
      </c>
      <c r="F7" s="8">
        <v>42684</v>
      </c>
      <c r="G7" s="7" t="s">
        <v>39</v>
      </c>
      <c r="H7">
        <f t="shared" si="1"/>
        <v>132000</v>
      </c>
      <c r="I7">
        <f t="shared" si="0"/>
        <v>0.11900826446280992</v>
      </c>
    </row>
    <row r="8" spans="1:9" x14ac:dyDescent="0.35">
      <c r="A8" s="4" t="s">
        <v>13</v>
      </c>
      <c r="B8" s="5" t="s">
        <v>21</v>
      </c>
      <c r="C8" s="6" t="s">
        <v>25</v>
      </c>
      <c r="D8" s="6" t="s">
        <v>33</v>
      </c>
      <c r="E8" s="7">
        <v>65000</v>
      </c>
      <c r="F8" s="8">
        <v>43619</v>
      </c>
      <c r="G8" s="7" t="s">
        <v>37</v>
      </c>
      <c r="H8">
        <f t="shared" si="1"/>
        <v>137000</v>
      </c>
      <c r="I8">
        <f t="shared" si="0"/>
        <v>0.10743801652892562</v>
      </c>
    </row>
    <row r="9" spans="1:9" x14ac:dyDescent="0.35">
      <c r="A9" s="4" t="s">
        <v>14</v>
      </c>
      <c r="B9" s="5" t="s">
        <v>22</v>
      </c>
      <c r="C9" s="6" t="s">
        <v>24</v>
      </c>
      <c r="D9" s="6" t="s">
        <v>34</v>
      </c>
      <c r="E9" s="7">
        <v>95000</v>
      </c>
      <c r="F9" s="8">
        <v>41699</v>
      </c>
      <c r="G9" s="7" t="s">
        <v>38</v>
      </c>
      <c r="H9">
        <f t="shared" si="1"/>
        <v>160000</v>
      </c>
      <c r="I9">
        <f t="shared" si="0"/>
        <v>0.15702479338842976</v>
      </c>
    </row>
    <row r="10" spans="1:9" x14ac:dyDescent="0.35">
      <c r="E10">
        <f>SUM(E2:E9)</f>
        <v>605000</v>
      </c>
    </row>
    <row r="11" spans="1:9" x14ac:dyDescent="0.35">
      <c r="A11" s="28"/>
    </row>
    <row r="12" spans="1:9" x14ac:dyDescent="0.35">
      <c r="A12" s="27" t="s">
        <v>15</v>
      </c>
    </row>
    <row r="13" spans="1:9" x14ac:dyDescent="0.35">
      <c r="A13" s="27" t="s">
        <v>16</v>
      </c>
      <c r="B13" s="19" t="s">
        <v>129</v>
      </c>
      <c r="C13" s="25">
        <f>COUNTBLANK(A11:A21)</f>
        <v>1</v>
      </c>
    </row>
    <row r="14" spans="1:9" x14ac:dyDescent="0.35">
      <c r="A14" s="27" t="s">
        <v>17</v>
      </c>
      <c r="C14" s="25"/>
    </row>
    <row r="15" spans="1:9" x14ac:dyDescent="0.35">
      <c r="A15" s="27" t="s">
        <v>18</v>
      </c>
      <c r="B15" s="19" t="s">
        <v>130</v>
      </c>
      <c r="C15" s="25">
        <f>COUNTA(A11:A21)</f>
        <v>10</v>
      </c>
    </row>
    <row r="16" spans="1:9" x14ac:dyDescent="0.35">
      <c r="A16" s="27" t="s">
        <v>19</v>
      </c>
    </row>
    <row r="17" spans="1:3" x14ac:dyDescent="0.35">
      <c r="A17" s="26">
        <v>23</v>
      </c>
    </row>
    <row r="18" spans="1:3" x14ac:dyDescent="0.35">
      <c r="A18" s="26">
        <v>43</v>
      </c>
      <c r="B18" s="19" t="s">
        <v>134</v>
      </c>
      <c r="C18" s="25">
        <f>COUNT(A11:A21)</f>
        <v>2</v>
      </c>
    </row>
    <row r="19" spans="1:3" x14ac:dyDescent="0.35">
      <c r="A19" s="27" t="s">
        <v>127</v>
      </c>
    </row>
    <row r="20" spans="1:3" x14ac:dyDescent="0.35">
      <c r="A20" s="27" t="s">
        <v>128</v>
      </c>
    </row>
    <row r="21" spans="1:3" x14ac:dyDescent="0.35">
      <c r="A21" s="27" t="s">
        <v>133</v>
      </c>
    </row>
  </sheetData>
  <conditionalFormatting sqref="E2:E9">
    <cfRule type="duplicateValues" dxfId="29" priority="1"/>
    <cfRule type="cellIs" dxfId="28" priority="3" operator="equal">
      <formula>77500</formula>
    </cfRule>
  </conditionalFormatting>
  <conditionalFormatting sqref="G2:G4">
    <cfRule type="top10" dxfId="27" priority="2" rank="10"/>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71464-7B4D-44EF-BFEE-13249DC4B80B}">
  <dimension ref="A1:J17"/>
  <sheetViews>
    <sheetView topLeftCell="A7" workbookViewId="0">
      <selection activeCell="C17" sqref="C17:J17"/>
    </sheetView>
  </sheetViews>
  <sheetFormatPr defaultRowHeight="14.5" x14ac:dyDescent="0.35"/>
  <cols>
    <col min="1" max="1" width="11.7265625" customWidth="1"/>
    <col min="2" max="2" width="14.7265625" customWidth="1"/>
    <col min="7" max="8" width="10.1796875" customWidth="1"/>
  </cols>
  <sheetData>
    <row r="1" spans="1:8" ht="15.5" x14ac:dyDescent="0.35">
      <c r="A1" s="9" t="s">
        <v>0</v>
      </c>
      <c r="B1" s="9" t="s">
        <v>1</v>
      </c>
      <c r="C1" s="19" t="s">
        <v>1</v>
      </c>
      <c r="D1" s="19"/>
      <c r="G1" t="s">
        <v>152</v>
      </c>
      <c r="H1" t="s">
        <v>153</v>
      </c>
    </row>
    <row r="2" spans="1:8" x14ac:dyDescent="0.35">
      <c r="A2" s="4" t="s">
        <v>7</v>
      </c>
      <c r="B2" s="5" t="s">
        <v>15</v>
      </c>
      <c r="C2" s="19" t="s">
        <v>135</v>
      </c>
      <c r="D2" s="19" t="s">
        <v>136</v>
      </c>
      <c r="G2" t="str">
        <f>LEFT(B2,FIND(" ",B2)-1)</f>
        <v>John</v>
      </c>
      <c r="H2" t="str">
        <f>MID(B2,FIND(" ",B2)+1,LEN(B2))</f>
        <v>Smith</v>
      </c>
    </row>
    <row r="3" spans="1:8" x14ac:dyDescent="0.35">
      <c r="A3" s="4" t="s">
        <v>8</v>
      </c>
      <c r="B3" s="5" t="s">
        <v>16</v>
      </c>
      <c r="C3" s="19" t="s">
        <v>137</v>
      </c>
      <c r="D3" s="19" t="s">
        <v>138</v>
      </c>
      <c r="G3" t="str">
        <f t="shared" ref="G3:G9" si="0">LEFT(B3,FIND(" ",B3)-1)</f>
        <v>Jane</v>
      </c>
      <c r="H3" t="str">
        <f t="shared" ref="H3:H9" si="1">MID(B3,FIND(" ",B3)+1,LEN(B3))</f>
        <v>Doe</v>
      </c>
    </row>
    <row r="4" spans="1:8" x14ac:dyDescent="0.35">
      <c r="A4" s="4" t="s">
        <v>9</v>
      </c>
      <c r="B4" s="5" t="s">
        <v>17</v>
      </c>
      <c r="C4" s="19" t="s">
        <v>139</v>
      </c>
      <c r="D4" s="19" t="s">
        <v>140</v>
      </c>
      <c r="E4" s="31" t="s">
        <v>151</v>
      </c>
      <c r="F4" s="31"/>
      <c r="G4" t="str">
        <f t="shared" si="0"/>
        <v>Sarah</v>
      </c>
      <c r="H4" t="str">
        <f t="shared" si="1"/>
        <v>Brown</v>
      </c>
    </row>
    <row r="5" spans="1:8" x14ac:dyDescent="0.35">
      <c r="A5" s="4" t="s">
        <v>10</v>
      </c>
      <c r="B5" s="5" t="s">
        <v>18</v>
      </c>
      <c r="C5" s="19" t="s">
        <v>141</v>
      </c>
      <c r="D5" s="19" t="s">
        <v>142</v>
      </c>
      <c r="G5" t="str">
        <f t="shared" si="0"/>
        <v>Michael</v>
      </c>
      <c r="H5" t="str">
        <f t="shared" si="1"/>
        <v>Lee</v>
      </c>
    </row>
    <row r="6" spans="1:8" x14ac:dyDescent="0.35">
      <c r="A6" s="4" t="s">
        <v>11</v>
      </c>
      <c r="B6" s="5" t="s">
        <v>19</v>
      </c>
      <c r="C6" s="19" t="s">
        <v>143</v>
      </c>
      <c r="D6" s="19" t="s">
        <v>144</v>
      </c>
      <c r="G6" t="str">
        <f t="shared" si="0"/>
        <v>Anna</v>
      </c>
      <c r="H6" t="str">
        <f t="shared" si="1"/>
        <v>Davis</v>
      </c>
    </row>
    <row r="7" spans="1:8" x14ac:dyDescent="0.35">
      <c r="A7" s="4" t="s">
        <v>12</v>
      </c>
      <c r="B7" s="5" t="s">
        <v>20</v>
      </c>
      <c r="C7" s="19" t="s">
        <v>145</v>
      </c>
      <c r="D7" s="19" t="s">
        <v>146</v>
      </c>
      <c r="G7" t="str">
        <f t="shared" si="0"/>
        <v>Peter</v>
      </c>
      <c r="H7" t="str">
        <f t="shared" si="1"/>
        <v>Clark</v>
      </c>
    </row>
    <row r="8" spans="1:8" x14ac:dyDescent="0.35">
      <c r="A8" s="4" t="s">
        <v>13</v>
      </c>
      <c r="B8" s="5" t="s">
        <v>21</v>
      </c>
      <c r="C8" s="19" t="s">
        <v>147</v>
      </c>
      <c r="D8" s="19" t="s">
        <v>148</v>
      </c>
      <c r="G8" t="str">
        <f t="shared" si="0"/>
        <v>Emily</v>
      </c>
      <c r="H8" t="str">
        <f t="shared" si="1"/>
        <v>White</v>
      </c>
    </row>
    <row r="9" spans="1:8" x14ac:dyDescent="0.35">
      <c r="A9" s="4" t="s">
        <v>14</v>
      </c>
      <c r="B9" s="5" t="s">
        <v>22</v>
      </c>
      <c r="C9" s="19" t="s">
        <v>149</v>
      </c>
      <c r="D9" s="19" t="s">
        <v>150</v>
      </c>
      <c r="G9" t="str">
        <f t="shared" si="0"/>
        <v>David</v>
      </c>
      <c r="H9" t="str">
        <f t="shared" si="1"/>
        <v>King</v>
      </c>
    </row>
    <row r="10" spans="1:8" x14ac:dyDescent="0.35">
      <c r="G10" s="20" t="s">
        <v>154</v>
      </c>
      <c r="H10" s="20" t="s">
        <v>155</v>
      </c>
    </row>
    <row r="12" spans="1:8" x14ac:dyDescent="0.35">
      <c r="A12" s="29" t="s">
        <v>156</v>
      </c>
      <c r="C12" t="str">
        <f>_xlfn.CONCAT(C2,D2)</f>
        <v>JohnSmith</v>
      </c>
      <c r="E12" t="str">
        <f>_xlfn.CONCAT(C2," ",D2)</f>
        <v>John Smith</v>
      </c>
    </row>
    <row r="14" spans="1:8" x14ac:dyDescent="0.35">
      <c r="A14" s="19" t="s">
        <v>157</v>
      </c>
      <c r="C14" t="str">
        <f>C2&amp;D2</f>
        <v>JohnSmith</v>
      </c>
      <c r="E14" t="str">
        <f>C2&amp;" "&amp;D2</f>
        <v>John Smith</v>
      </c>
    </row>
    <row r="17" spans="3:10" x14ac:dyDescent="0.35">
      <c r="C17" s="32" t="s">
        <v>170</v>
      </c>
      <c r="D17" s="32"/>
      <c r="E17" s="32"/>
      <c r="F17" s="32"/>
      <c r="G17" s="32"/>
      <c r="H17" s="32"/>
      <c r="I17" s="32"/>
      <c r="J17" s="32"/>
    </row>
  </sheetData>
  <mergeCells count="2">
    <mergeCell ref="E4:F4"/>
    <mergeCell ref="C17:J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2E9A-CA68-4E43-B729-D321516457AF}">
  <dimension ref="A1:N25"/>
  <sheetViews>
    <sheetView workbookViewId="0">
      <selection activeCell="J1" sqref="J1"/>
    </sheetView>
  </sheetViews>
  <sheetFormatPr defaultRowHeight="14.5" x14ac:dyDescent="0.35"/>
  <cols>
    <col min="1" max="1" width="12.1796875" customWidth="1"/>
    <col min="2" max="2" width="14" customWidth="1"/>
    <col min="3" max="3" width="10.90625" customWidth="1"/>
    <col min="4" max="4" width="11.1796875" customWidth="1"/>
    <col min="6" max="6" width="11.81640625" customWidth="1"/>
    <col min="7" max="7" width="11.54296875" customWidth="1"/>
  </cols>
  <sheetData>
    <row r="1" spans="1:14" ht="15.5" x14ac:dyDescent="0.35">
      <c r="A1" s="9" t="s">
        <v>0</v>
      </c>
      <c r="B1" s="9" t="s">
        <v>1</v>
      </c>
      <c r="C1" s="10" t="s">
        <v>2</v>
      </c>
      <c r="D1" s="10" t="s">
        <v>3</v>
      </c>
      <c r="E1" s="11" t="s">
        <v>4</v>
      </c>
      <c r="F1" s="11" t="s">
        <v>5</v>
      </c>
      <c r="G1" s="11" t="s">
        <v>6</v>
      </c>
    </row>
    <row r="2" spans="1:14" x14ac:dyDescent="0.35">
      <c r="A2" s="4" t="s">
        <v>7</v>
      </c>
      <c r="B2" s="5" t="s">
        <v>15</v>
      </c>
      <c r="C2" s="6" t="s">
        <v>23</v>
      </c>
      <c r="D2" s="6" t="s">
        <v>27</v>
      </c>
      <c r="E2" s="7">
        <v>80000</v>
      </c>
      <c r="F2" s="8">
        <v>42125</v>
      </c>
      <c r="G2" s="7" t="s">
        <v>35</v>
      </c>
    </row>
    <row r="3" spans="1:14" x14ac:dyDescent="0.35">
      <c r="A3" s="4" t="s">
        <v>8</v>
      </c>
      <c r="B3" s="5" t="s">
        <v>16</v>
      </c>
      <c r="C3" s="6" t="s">
        <v>24</v>
      </c>
      <c r="D3" s="6" t="s">
        <v>28</v>
      </c>
      <c r="E3" s="7">
        <v>75000</v>
      </c>
      <c r="F3" s="8">
        <v>43446</v>
      </c>
      <c r="G3" s="7" t="s">
        <v>36</v>
      </c>
    </row>
    <row r="4" spans="1:14" x14ac:dyDescent="0.35">
      <c r="A4" s="4" t="s">
        <v>9</v>
      </c>
      <c r="B4" s="5" t="s">
        <v>17</v>
      </c>
      <c r="C4" s="6" t="s">
        <v>25</v>
      </c>
      <c r="D4" s="6" t="s">
        <v>29</v>
      </c>
      <c r="E4" s="7">
        <v>68000</v>
      </c>
      <c r="F4" s="8">
        <v>42814</v>
      </c>
      <c r="G4" s="7" t="s">
        <v>37</v>
      </c>
    </row>
    <row r="5" spans="1:14" x14ac:dyDescent="0.35">
      <c r="A5" s="4" t="s">
        <v>10</v>
      </c>
      <c r="B5" s="5" t="s">
        <v>18</v>
      </c>
      <c r="C5" s="6" t="s">
        <v>24</v>
      </c>
      <c r="D5" s="6" t="s">
        <v>30</v>
      </c>
      <c r="E5" s="7">
        <v>90000</v>
      </c>
      <c r="F5" s="8">
        <v>41470</v>
      </c>
      <c r="G5" s="7" t="s">
        <v>38</v>
      </c>
    </row>
    <row r="6" spans="1:14" x14ac:dyDescent="0.35">
      <c r="A6" s="4" t="s">
        <v>11</v>
      </c>
      <c r="B6" s="5" t="s">
        <v>19</v>
      </c>
      <c r="C6" s="6" t="s">
        <v>23</v>
      </c>
      <c r="D6" s="6" t="s">
        <v>31</v>
      </c>
      <c r="E6" s="7">
        <v>60000</v>
      </c>
      <c r="F6" s="8">
        <v>44082</v>
      </c>
      <c r="G6" s="7" t="s">
        <v>35</v>
      </c>
    </row>
    <row r="7" spans="1:14" x14ac:dyDescent="0.35">
      <c r="A7" s="4" t="s">
        <v>12</v>
      </c>
      <c r="B7" s="5" t="s">
        <v>20</v>
      </c>
      <c r="C7" s="6" t="s">
        <v>26</v>
      </c>
      <c r="D7" s="6" t="s">
        <v>32</v>
      </c>
      <c r="E7" s="7">
        <v>72000</v>
      </c>
      <c r="F7" s="8">
        <v>42684</v>
      </c>
      <c r="G7" s="7" t="s">
        <v>39</v>
      </c>
    </row>
    <row r="8" spans="1:14" x14ac:dyDescent="0.35">
      <c r="A8" s="4" t="s">
        <v>13</v>
      </c>
      <c r="B8" s="5" t="s">
        <v>21</v>
      </c>
      <c r="C8" s="6" t="s">
        <v>25</v>
      </c>
      <c r="D8" s="6" t="s">
        <v>33</v>
      </c>
      <c r="E8" s="7">
        <v>65000</v>
      </c>
      <c r="F8" s="8">
        <v>43619</v>
      </c>
      <c r="G8" s="7" t="s">
        <v>37</v>
      </c>
    </row>
    <row r="9" spans="1:14" x14ac:dyDescent="0.35">
      <c r="A9" s="4" t="s">
        <v>14</v>
      </c>
      <c r="B9" s="5" t="s">
        <v>22</v>
      </c>
      <c r="C9" s="6" t="s">
        <v>24</v>
      </c>
      <c r="D9" s="6" t="s">
        <v>34</v>
      </c>
      <c r="E9" s="7">
        <v>95000</v>
      </c>
      <c r="F9" s="8">
        <v>41699</v>
      </c>
      <c r="G9" s="7" t="s">
        <v>38</v>
      </c>
    </row>
    <row r="10" spans="1:14" x14ac:dyDescent="0.35">
      <c r="M10">
        <v>80000</v>
      </c>
      <c r="N10" t="b">
        <f>COUNTIF(M:M,M10)&gt;1</f>
        <v>1</v>
      </c>
    </row>
    <row r="11" spans="1:14" ht="15.5" x14ac:dyDescent="0.35">
      <c r="A11" s="11" t="s">
        <v>4</v>
      </c>
      <c r="B11" s="5"/>
      <c r="C11">
        <v>80000</v>
      </c>
      <c r="I11">
        <v>90000</v>
      </c>
      <c r="K11" s="7">
        <v>80000</v>
      </c>
      <c r="M11" s="7">
        <v>80000</v>
      </c>
      <c r="N11" t="b">
        <f t="shared" ref="N11:N18" si="0">COUNTIF(M:M,M11)&gt;1</f>
        <v>1</v>
      </c>
    </row>
    <row r="12" spans="1:14" x14ac:dyDescent="0.35">
      <c r="A12" s="7">
        <v>80000</v>
      </c>
      <c r="C12" s="7">
        <v>80000</v>
      </c>
      <c r="E12" s="7">
        <v>80000</v>
      </c>
      <c r="G12" s="7">
        <v>80000</v>
      </c>
      <c r="I12" s="7">
        <v>80000</v>
      </c>
      <c r="K12" s="7">
        <v>75000</v>
      </c>
      <c r="M12" s="7">
        <v>75000</v>
      </c>
      <c r="N12" t="b">
        <f t="shared" si="0"/>
        <v>0</v>
      </c>
    </row>
    <row r="13" spans="1:14" x14ac:dyDescent="0.35">
      <c r="A13" s="7">
        <v>75000</v>
      </c>
      <c r="C13" s="7">
        <v>75000</v>
      </c>
      <c r="E13" s="7">
        <v>75000</v>
      </c>
      <c r="G13" s="7">
        <v>75000</v>
      </c>
      <c r="I13" s="7">
        <v>75000</v>
      </c>
      <c r="K13" s="7">
        <v>68000</v>
      </c>
      <c r="M13" s="7">
        <v>68000</v>
      </c>
      <c r="N13" t="b">
        <f t="shared" si="0"/>
        <v>0</v>
      </c>
    </row>
    <row r="14" spans="1:14" x14ac:dyDescent="0.35">
      <c r="A14" s="7">
        <v>68000</v>
      </c>
      <c r="C14" s="7">
        <v>68000</v>
      </c>
      <c r="E14" s="7">
        <v>68000</v>
      </c>
      <c r="G14" s="7">
        <v>68000</v>
      </c>
      <c r="I14" s="7">
        <v>68000</v>
      </c>
      <c r="K14" s="7">
        <v>90000</v>
      </c>
      <c r="M14" s="7">
        <v>90000</v>
      </c>
      <c r="N14" t="b">
        <f t="shared" si="0"/>
        <v>0</v>
      </c>
    </row>
    <row r="15" spans="1:14" x14ac:dyDescent="0.35">
      <c r="A15" s="7">
        <v>90000</v>
      </c>
      <c r="C15" s="7">
        <v>90000</v>
      </c>
      <c r="E15" s="7">
        <v>90000</v>
      </c>
      <c r="G15" s="7">
        <v>90000</v>
      </c>
      <c r="I15" s="7">
        <v>90000</v>
      </c>
      <c r="K15" s="7">
        <v>60000</v>
      </c>
      <c r="M15" s="7">
        <v>60000</v>
      </c>
      <c r="N15" t="b">
        <f t="shared" si="0"/>
        <v>0</v>
      </c>
    </row>
    <row r="16" spans="1:14" x14ac:dyDescent="0.35">
      <c r="A16" s="7">
        <v>60000</v>
      </c>
      <c r="C16" s="7">
        <v>60000</v>
      </c>
      <c r="E16" s="7">
        <v>60000</v>
      </c>
      <c r="G16" s="7">
        <v>60000</v>
      </c>
      <c r="I16" s="7">
        <v>60000</v>
      </c>
      <c r="K16" s="7">
        <v>72000</v>
      </c>
      <c r="M16" s="7">
        <v>72000</v>
      </c>
      <c r="N16" t="b">
        <f t="shared" si="0"/>
        <v>0</v>
      </c>
    </row>
    <row r="17" spans="1:14" x14ac:dyDescent="0.35">
      <c r="A17" s="7">
        <v>72000</v>
      </c>
      <c r="C17" s="7">
        <v>72000</v>
      </c>
      <c r="E17" s="7">
        <v>72000</v>
      </c>
      <c r="G17" s="7">
        <v>72000</v>
      </c>
      <c r="I17" s="7">
        <v>72000</v>
      </c>
      <c r="K17" s="7">
        <v>65000</v>
      </c>
      <c r="M17" s="7">
        <v>65000</v>
      </c>
      <c r="N17" t="b">
        <f t="shared" si="0"/>
        <v>0</v>
      </c>
    </row>
    <row r="18" spans="1:14" x14ac:dyDescent="0.35">
      <c r="A18" s="7">
        <v>65000</v>
      </c>
      <c r="C18" s="7">
        <v>65000</v>
      </c>
      <c r="E18" s="7">
        <v>65000</v>
      </c>
      <c r="G18" s="7">
        <v>65000</v>
      </c>
      <c r="I18" s="7">
        <v>65000</v>
      </c>
      <c r="K18" s="7">
        <v>95000</v>
      </c>
      <c r="M18" s="7">
        <v>95000</v>
      </c>
      <c r="N18" t="b">
        <f t="shared" si="0"/>
        <v>0</v>
      </c>
    </row>
    <row r="19" spans="1:14" x14ac:dyDescent="0.35">
      <c r="A19" s="7">
        <v>95000</v>
      </c>
      <c r="C19" s="7">
        <v>95000</v>
      </c>
      <c r="E19" s="7">
        <v>95000</v>
      </c>
      <c r="G19" s="7">
        <v>95000</v>
      </c>
      <c r="I19" s="7">
        <v>95000</v>
      </c>
      <c r="M19" s="19" t="s">
        <v>167</v>
      </c>
    </row>
    <row r="20" spans="1:14" x14ac:dyDescent="0.35">
      <c r="A20" s="19" t="s">
        <v>158</v>
      </c>
      <c r="C20" s="19" t="s">
        <v>159</v>
      </c>
      <c r="E20" s="19" t="s">
        <v>160</v>
      </c>
      <c r="G20" s="19" t="s">
        <v>163</v>
      </c>
      <c r="I20" s="19" t="s">
        <v>164</v>
      </c>
      <c r="K20" s="19" t="s">
        <v>165</v>
      </c>
      <c r="M20" s="32" t="s">
        <v>168</v>
      </c>
      <c r="N20" s="32"/>
    </row>
    <row r="21" spans="1:14" x14ac:dyDescent="0.35">
      <c r="A21" s="19" t="s">
        <v>162</v>
      </c>
      <c r="C21" s="19" t="s">
        <v>162</v>
      </c>
      <c r="E21" s="19" t="s">
        <v>161</v>
      </c>
    </row>
    <row r="23" spans="1:14" x14ac:dyDescent="0.35">
      <c r="B23" s="32" t="s">
        <v>166</v>
      </c>
      <c r="C23" s="32"/>
      <c r="D23" s="32"/>
      <c r="E23" s="32"/>
      <c r="F23" s="32"/>
      <c r="G23" s="32"/>
      <c r="H23" s="32"/>
      <c r="I23" s="32"/>
      <c r="J23" s="32"/>
    </row>
    <row r="25" spans="1:14" x14ac:dyDescent="0.35">
      <c r="E25" s="32" t="s">
        <v>169</v>
      </c>
      <c r="F25" s="32"/>
      <c r="G25" s="32"/>
      <c r="H25" s="32"/>
      <c r="I25" s="32"/>
      <c r="J25" s="32"/>
    </row>
  </sheetData>
  <mergeCells count="3">
    <mergeCell ref="B23:J23"/>
    <mergeCell ref="M20:N20"/>
    <mergeCell ref="E25:J25"/>
  </mergeCells>
  <conditionalFormatting sqref="A12:A19">
    <cfRule type="cellIs" dxfId="26" priority="20" operator="greaterThan">
      <formula>75000</formula>
    </cfRule>
    <cfRule type="duplicateValues" dxfId="25" priority="21"/>
    <cfRule type="cellIs" dxfId="24" priority="22" operator="equal">
      <formula>77500</formula>
    </cfRule>
  </conditionalFormatting>
  <conditionalFormatting sqref="C11:C19">
    <cfRule type="duplicateValues" dxfId="23" priority="17"/>
  </conditionalFormatting>
  <conditionalFormatting sqref="C12:C19">
    <cfRule type="duplicateValues" dxfId="22" priority="18"/>
    <cfRule type="cellIs" dxfId="21" priority="19" operator="equal">
      <formula>77500</formula>
    </cfRule>
  </conditionalFormatting>
  <conditionalFormatting sqref="E2:E9">
    <cfRule type="duplicateValues" dxfId="20" priority="23"/>
    <cfRule type="cellIs" dxfId="19" priority="25" operator="equal">
      <formula>77500</formula>
    </cfRule>
  </conditionalFormatting>
  <conditionalFormatting sqref="E12:E19">
    <cfRule type="aboveAverage" dxfId="18" priority="9" aboveAverage="0"/>
    <cfRule type="top10" priority="10" percent="1" rank="4"/>
    <cfRule type="duplicateValues" dxfId="17" priority="15"/>
    <cfRule type="cellIs" dxfId="16" priority="16" operator="equal">
      <formula>77500</formula>
    </cfRule>
  </conditionalFormatting>
  <conditionalFormatting sqref="G2:G4">
    <cfRule type="top10" dxfId="15" priority="24" rank="10"/>
  </conditionalFormatting>
  <conditionalFormatting sqref="G12:G19">
    <cfRule type="dataBar" priority="8">
      <dataBar>
        <cfvo type="min"/>
        <cfvo type="max"/>
        <color rgb="FF638EC6"/>
      </dataBar>
      <extLst>
        <ext xmlns:x14="http://schemas.microsoft.com/office/spreadsheetml/2009/9/main" uri="{B025F937-C7B1-47D3-B67F-A62EFF666E3E}">
          <x14:id>{FA368C11-538D-42E4-A501-AB525E98E838}</x14:id>
        </ext>
      </extLst>
    </cfRule>
    <cfRule type="duplicateValues" dxfId="14" priority="13"/>
    <cfRule type="cellIs" dxfId="13" priority="14" operator="equal">
      <formula>77500</formula>
    </cfRule>
  </conditionalFormatting>
  <conditionalFormatting sqref="I11:I19">
    <cfRule type="colorScale" priority="7">
      <colorScale>
        <cfvo type="min"/>
        <cfvo type="percentile" val="50"/>
        <cfvo type="max"/>
        <color rgb="FFF8696B"/>
        <color rgb="FFFFEB84"/>
        <color rgb="FF63BE7B"/>
      </colorScale>
    </cfRule>
  </conditionalFormatting>
  <conditionalFormatting sqref="I12:I19">
    <cfRule type="duplicateValues" dxfId="12" priority="11"/>
    <cfRule type="cellIs" dxfId="11" priority="12" operator="equal">
      <formula>77500</formula>
    </cfRule>
  </conditionalFormatting>
  <conditionalFormatting sqref="K11:K18">
    <cfRule type="iconSet" priority="4">
      <iconSet iconSet="3Arrows">
        <cfvo type="percent" val="0"/>
        <cfvo type="percent" val="33"/>
        <cfvo type="percent" val="67"/>
      </iconSet>
    </cfRule>
    <cfRule type="duplicateValues" dxfId="10" priority="5"/>
    <cfRule type="cellIs" dxfId="9" priority="6" operator="equal">
      <formula>77500</formula>
    </cfRule>
  </conditionalFormatting>
  <conditionalFormatting sqref="M10:M18">
    <cfRule type="duplicateValues" dxfId="8" priority="1"/>
  </conditionalFormatting>
  <conditionalFormatting sqref="M11:M18">
    <cfRule type="duplicateValues" dxfId="7" priority="2"/>
    <cfRule type="cellIs" dxfId="6" priority="3" operator="equal">
      <formula>77500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A368C11-538D-42E4-A501-AB525E98E838}">
            <x14:dataBar minLength="0" maxLength="100" border="1" negativeBarBorderColorSameAsPositive="0">
              <x14:cfvo type="autoMin"/>
              <x14:cfvo type="autoMax"/>
              <x14:borderColor rgb="FF638EC6"/>
              <x14:negativeFillColor rgb="FFFF0000"/>
              <x14:negativeBorderColor rgb="FFFF0000"/>
              <x14:axisColor rgb="FF000000"/>
            </x14:dataBar>
          </x14:cfRule>
          <xm:sqref>G12:G19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2025-8C36-4DFE-B924-EAF3DBC2D200}">
  <dimension ref="A1:N40"/>
  <sheetViews>
    <sheetView workbookViewId="0">
      <selection activeCell="L15" sqref="L15"/>
    </sheetView>
  </sheetViews>
  <sheetFormatPr defaultRowHeight="14.5" x14ac:dyDescent="0.35"/>
  <cols>
    <col min="1" max="1" width="11.453125" customWidth="1"/>
    <col min="2" max="2" width="14" customWidth="1"/>
    <col min="3" max="3" width="11.26953125" customWidth="1"/>
    <col min="4" max="4" width="11.453125" customWidth="1"/>
    <col min="6" max="6" width="12" customWidth="1"/>
    <col min="7" max="7" width="12.1796875" customWidth="1"/>
  </cols>
  <sheetData>
    <row r="1" spans="1:14" ht="15.5" x14ac:dyDescent="0.35">
      <c r="A1" s="9" t="s">
        <v>0</v>
      </c>
      <c r="B1" s="9" t="s">
        <v>1</v>
      </c>
      <c r="C1" s="10" t="s">
        <v>2</v>
      </c>
      <c r="D1" s="10" t="s">
        <v>3</v>
      </c>
      <c r="E1" s="11" t="s">
        <v>4</v>
      </c>
      <c r="F1" s="11" t="s">
        <v>5</v>
      </c>
      <c r="G1" s="11" t="s">
        <v>6</v>
      </c>
      <c r="L1" s="25" t="s">
        <v>176</v>
      </c>
    </row>
    <row r="2" spans="1:14" x14ac:dyDescent="0.35">
      <c r="A2" s="4" t="s">
        <v>7</v>
      </c>
      <c r="B2" s="5" t="s">
        <v>15</v>
      </c>
      <c r="C2" s="6" t="s">
        <v>23</v>
      </c>
      <c r="D2" s="6" t="s">
        <v>27</v>
      </c>
      <c r="E2" s="7">
        <v>80000</v>
      </c>
      <c r="F2" s="8">
        <v>42125</v>
      </c>
      <c r="G2" s="7" t="s">
        <v>35</v>
      </c>
      <c r="I2" t="s">
        <v>24</v>
      </c>
      <c r="L2" s="25" t="s">
        <v>177</v>
      </c>
    </row>
    <row r="3" spans="1:14" x14ac:dyDescent="0.35">
      <c r="A3" s="4" t="s">
        <v>8</v>
      </c>
      <c r="B3" s="5" t="s">
        <v>16</v>
      </c>
      <c r="C3" s="6" t="s">
        <v>24</v>
      </c>
      <c r="D3" s="6" t="s">
        <v>28</v>
      </c>
      <c r="E3" s="7">
        <v>75000</v>
      </c>
      <c r="F3" s="8">
        <v>43446</v>
      </c>
      <c r="G3" s="7" t="s">
        <v>36</v>
      </c>
      <c r="L3" s="25" t="s">
        <v>172</v>
      </c>
    </row>
    <row r="4" spans="1:14" x14ac:dyDescent="0.35">
      <c r="A4" s="4" t="s">
        <v>9</v>
      </c>
      <c r="B4" s="5" t="s">
        <v>17</v>
      </c>
      <c r="C4" s="6" t="s">
        <v>25</v>
      </c>
      <c r="D4" s="6" t="s">
        <v>29</v>
      </c>
      <c r="E4" s="7">
        <v>68000</v>
      </c>
      <c r="F4" s="8">
        <v>42814</v>
      </c>
      <c r="G4" s="7" t="s">
        <v>37</v>
      </c>
      <c r="L4" s="25" t="s">
        <v>173</v>
      </c>
    </row>
    <row r="5" spans="1:14" x14ac:dyDescent="0.35">
      <c r="A5" s="4" t="s">
        <v>10</v>
      </c>
      <c r="B5" s="5" t="s">
        <v>18</v>
      </c>
      <c r="C5" s="6" t="s">
        <v>24</v>
      </c>
      <c r="D5" s="6" t="s">
        <v>30</v>
      </c>
      <c r="E5" s="7">
        <v>90000</v>
      </c>
      <c r="F5" s="8">
        <v>41470</v>
      </c>
      <c r="G5" s="7" t="s">
        <v>38</v>
      </c>
      <c r="I5" s="19" t="s">
        <v>171</v>
      </c>
      <c r="L5" s="25" t="s">
        <v>174</v>
      </c>
    </row>
    <row r="6" spans="1:14" x14ac:dyDescent="0.35">
      <c r="A6" s="4" t="s">
        <v>11</v>
      </c>
      <c r="B6" s="5" t="s">
        <v>19</v>
      </c>
      <c r="C6" s="6" t="s">
        <v>23</v>
      </c>
      <c r="D6" s="6" t="s">
        <v>31</v>
      </c>
      <c r="E6" s="7">
        <v>60000</v>
      </c>
      <c r="F6" s="8">
        <v>44082</v>
      </c>
      <c r="G6" s="7" t="s">
        <v>35</v>
      </c>
      <c r="L6" s="25" t="s">
        <v>175</v>
      </c>
    </row>
    <row r="7" spans="1:14" x14ac:dyDescent="0.35">
      <c r="A7" s="4" t="s">
        <v>12</v>
      </c>
      <c r="B7" s="5" t="s">
        <v>20</v>
      </c>
      <c r="C7" s="6" t="s">
        <v>26</v>
      </c>
      <c r="D7" s="6" t="s">
        <v>32</v>
      </c>
      <c r="E7" s="7">
        <v>72000</v>
      </c>
      <c r="F7" s="8">
        <v>42684</v>
      </c>
      <c r="G7" s="7" t="s">
        <v>39</v>
      </c>
    </row>
    <row r="8" spans="1:14" x14ac:dyDescent="0.35">
      <c r="A8" s="4" t="s">
        <v>13</v>
      </c>
      <c r="B8" s="5" t="s">
        <v>21</v>
      </c>
      <c r="C8" s="6" t="s">
        <v>25</v>
      </c>
      <c r="D8" s="6" t="s">
        <v>33</v>
      </c>
      <c r="E8" s="7">
        <v>65000</v>
      </c>
      <c r="F8" s="8">
        <v>43619</v>
      </c>
      <c r="G8" s="7" t="s">
        <v>37</v>
      </c>
    </row>
    <row r="9" spans="1:14" x14ac:dyDescent="0.35">
      <c r="A9" s="4" t="s">
        <v>14</v>
      </c>
      <c r="B9" s="5" t="s">
        <v>22</v>
      </c>
      <c r="C9" s="6" t="s">
        <v>24</v>
      </c>
      <c r="D9" s="6" t="s">
        <v>34</v>
      </c>
      <c r="E9" s="7">
        <v>95000</v>
      </c>
      <c r="F9" s="8">
        <v>41699</v>
      </c>
      <c r="G9" s="7" t="s">
        <v>38</v>
      </c>
    </row>
    <row r="11" spans="1:14" x14ac:dyDescent="0.35">
      <c r="A11">
        <v>80000</v>
      </c>
      <c r="I11" s="19" t="s">
        <v>208</v>
      </c>
      <c r="N11" s="42"/>
    </row>
    <row r="12" spans="1:14" x14ac:dyDescent="0.35">
      <c r="E12" s="35" t="s">
        <v>205</v>
      </c>
      <c r="F12" s="35"/>
      <c r="I12" s="25" t="s">
        <v>209</v>
      </c>
      <c r="N12" s="42"/>
    </row>
    <row r="13" spans="1:14" x14ac:dyDescent="0.35">
      <c r="A13" t="s">
        <v>178</v>
      </c>
      <c r="B13">
        <v>75000</v>
      </c>
      <c r="F13" t="s">
        <v>206</v>
      </c>
      <c r="I13" s="25" t="s">
        <v>210</v>
      </c>
      <c r="N13" s="42"/>
    </row>
    <row r="14" spans="1:14" x14ac:dyDescent="0.35">
      <c r="A14" t="s">
        <v>179</v>
      </c>
      <c r="B14">
        <v>4898.9794855663558</v>
      </c>
      <c r="E14" s="34"/>
      <c r="F14" t="s">
        <v>207</v>
      </c>
      <c r="I14" s="25" t="s">
        <v>211</v>
      </c>
      <c r="N14" s="42"/>
    </row>
    <row r="15" spans="1:14" x14ac:dyDescent="0.35">
      <c r="A15" t="s">
        <v>180</v>
      </c>
      <c r="B15">
        <v>72000</v>
      </c>
      <c r="I15" s="25" t="s">
        <v>212</v>
      </c>
      <c r="N15" s="42"/>
    </row>
    <row r="16" spans="1:14" x14ac:dyDescent="0.35">
      <c r="A16" t="s">
        <v>181</v>
      </c>
      <c r="B16">
        <v>95000</v>
      </c>
      <c r="I16" s="25" t="s">
        <v>213</v>
      </c>
      <c r="N16" s="42"/>
    </row>
    <row r="17" spans="1:14" x14ac:dyDescent="0.35">
      <c r="A17" t="s">
        <v>182</v>
      </c>
      <c r="B17">
        <v>12961.48139681572</v>
      </c>
      <c r="N17" s="42"/>
    </row>
    <row r="18" spans="1:14" x14ac:dyDescent="0.35">
      <c r="A18" t="s">
        <v>183</v>
      </c>
      <c r="B18">
        <v>168000000</v>
      </c>
      <c r="N18" s="42"/>
    </row>
    <row r="19" spans="1:14" x14ac:dyDescent="0.35">
      <c r="A19" t="s">
        <v>184</v>
      </c>
      <c r="B19">
        <v>-0.87400793650793673</v>
      </c>
    </row>
    <row r="20" spans="1:14" x14ac:dyDescent="0.35">
      <c r="A20" t="s">
        <v>185</v>
      </c>
      <c r="B20">
        <v>0.71043834045046506</v>
      </c>
    </row>
    <row r="21" spans="1:14" x14ac:dyDescent="0.35">
      <c r="A21" t="s">
        <v>186</v>
      </c>
      <c r="B21">
        <v>35000</v>
      </c>
    </row>
    <row r="22" spans="1:14" x14ac:dyDescent="0.35">
      <c r="A22" t="s">
        <v>187</v>
      </c>
      <c r="B22">
        <v>60000</v>
      </c>
    </row>
    <row r="23" spans="1:14" x14ac:dyDescent="0.35">
      <c r="A23" t="s">
        <v>188</v>
      </c>
      <c r="B23">
        <v>95000</v>
      </c>
    </row>
    <row r="24" spans="1:14" x14ac:dyDescent="0.35">
      <c r="A24" t="s">
        <v>189</v>
      </c>
      <c r="B24">
        <v>525000</v>
      </c>
    </row>
    <row r="25" spans="1:14" x14ac:dyDescent="0.35">
      <c r="A25" t="s">
        <v>190</v>
      </c>
      <c r="B25">
        <v>7</v>
      </c>
    </row>
    <row r="26" spans="1:14" x14ac:dyDescent="0.35">
      <c r="A26" t="s">
        <v>191</v>
      </c>
      <c r="B26">
        <v>95000</v>
      </c>
    </row>
    <row r="27" spans="1:14" x14ac:dyDescent="0.35">
      <c r="A27" t="s">
        <v>192</v>
      </c>
      <c r="B27">
        <v>60000</v>
      </c>
    </row>
    <row r="28" spans="1:14" x14ac:dyDescent="0.35">
      <c r="A28" t="s">
        <v>193</v>
      </c>
      <c r="B28">
        <v>11987.370938946849</v>
      </c>
    </row>
    <row r="30" spans="1:14" x14ac:dyDescent="0.35">
      <c r="A30" s="32" t="s">
        <v>194</v>
      </c>
      <c r="B30" s="32"/>
    </row>
    <row r="31" spans="1:14" x14ac:dyDescent="0.35">
      <c r="B31" s="33" t="s">
        <v>195</v>
      </c>
      <c r="C31" s="19"/>
    </row>
    <row r="32" spans="1:14" x14ac:dyDescent="0.35">
      <c r="B32" s="33" t="s">
        <v>196</v>
      </c>
    </row>
    <row r="33" spans="2:2" x14ac:dyDescent="0.35">
      <c r="B33" s="33" t="s">
        <v>197</v>
      </c>
    </row>
    <row r="34" spans="2:2" x14ac:dyDescent="0.35">
      <c r="B34" s="33" t="s">
        <v>198</v>
      </c>
    </row>
    <row r="35" spans="2:2" x14ac:dyDescent="0.35">
      <c r="B35" s="33" t="s">
        <v>199</v>
      </c>
    </row>
    <row r="36" spans="2:2" x14ac:dyDescent="0.35">
      <c r="B36" s="33" t="s">
        <v>200</v>
      </c>
    </row>
    <row r="37" spans="2:2" x14ac:dyDescent="0.35">
      <c r="B37" s="33" t="s">
        <v>201</v>
      </c>
    </row>
    <row r="38" spans="2:2" x14ac:dyDescent="0.35">
      <c r="B38" s="33" t="s">
        <v>202</v>
      </c>
    </row>
    <row r="39" spans="2:2" x14ac:dyDescent="0.35">
      <c r="B39" s="33" t="s">
        <v>203</v>
      </c>
    </row>
    <row r="40" spans="2:2" x14ac:dyDescent="0.35">
      <c r="B40" s="33" t="s">
        <v>204</v>
      </c>
    </row>
  </sheetData>
  <mergeCells count="2">
    <mergeCell ref="A30:B30"/>
    <mergeCell ref="E12:F12"/>
  </mergeCells>
  <conditionalFormatting sqref="E2:E9">
    <cfRule type="duplicateValues" dxfId="5" priority="1"/>
    <cfRule type="cellIs" dxfId="4" priority="3" operator="equal">
      <formula>77500</formula>
    </cfRule>
  </conditionalFormatting>
  <conditionalFormatting sqref="G2:G4">
    <cfRule type="top10" dxfId="3" priority="2" rank="10"/>
  </conditionalFormatting>
  <dataValidations count="1">
    <dataValidation type="list" allowBlank="1" showInputMessage="1" showErrorMessage="1" sqref="I2:I4" xr:uid="{41D8E95E-7B5B-4B42-B226-7B964FA0B9A1}">
      <formula1>$C$2:$C$9</formula1>
    </dataValidation>
  </dataValidations>
  <pageMargins left="0.7" right="0.7" top="0.75" bottom="0.75" header="0.3" footer="0.3"/>
  <extLst>
    <ext xmlns:x15="http://schemas.microsoft.com/office/spreadsheetml/2010/11/main" uri="{F7C9EE02-42E1-4005-9D12-6889AFFD525C}">
      <x15:webExtensions xmlns:xm="http://schemas.microsoft.com/office/excel/2006/main">
        <x15:webExtension appRef="{86A1C06C-BFA4-42A1-B56F-C925E106B07A}">
          <xm:f>P_10!1:1048576</xm:f>
        </x15:webExtension>
        <x15:webExtension appRef="{1734C305-1FDE-45E6-84B5-B2238506A930}">
          <xm:f>P_10!E2:E9</xm:f>
        </x15:webExtension>
        <x15:webExtension appRef="{B76ABDC0-92C9-45C7-A8F0-BEA5237A42DF}">
          <xm:f>P_10!$A$11:$C$29</xm:f>
        </x15:webExtension>
      </x15:webExtens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3489C-218D-4CA5-A960-7B3B12420E7F}">
  <dimension ref="A1:M14"/>
  <sheetViews>
    <sheetView workbookViewId="0">
      <selection activeCell="F23" sqref="F23"/>
    </sheetView>
  </sheetViews>
  <sheetFormatPr defaultRowHeight="14.5" x14ac:dyDescent="0.35"/>
  <cols>
    <col min="1" max="1" width="11.7265625" style="39" customWidth="1"/>
    <col min="2" max="2" width="13.90625" style="39" customWidth="1"/>
    <col min="3" max="3" width="12.6328125" style="39" customWidth="1"/>
    <col min="4" max="4" width="11.453125" style="39" customWidth="1"/>
    <col min="5" max="5" width="8.7265625" style="39"/>
    <col min="6" max="6" width="11.36328125" style="39" customWidth="1"/>
    <col min="7" max="7" width="12.1796875" style="39" customWidth="1"/>
    <col min="8" max="16384" width="8.7265625" style="39"/>
  </cols>
  <sheetData>
    <row r="1" spans="1:13" ht="15.5" x14ac:dyDescent="0.35">
      <c r="A1" s="36" t="s">
        <v>0</v>
      </c>
      <c r="B1" s="36" t="s">
        <v>1</v>
      </c>
      <c r="C1" s="37" t="s">
        <v>2</v>
      </c>
      <c r="D1" s="37" t="s">
        <v>3</v>
      </c>
      <c r="E1" s="38" t="s">
        <v>4</v>
      </c>
      <c r="F1" s="38" t="s">
        <v>5</v>
      </c>
      <c r="G1" s="38" t="s">
        <v>6</v>
      </c>
    </row>
    <row r="2" spans="1:13" x14ac:dyDescent="0.35">
      <c r="A2" s="40" t="s">
        <v>7</v>
      </c>
      <c r="B2" s="41" t="s">
        <v>15</v>
      </c>
      <c r="C2" s="42" t="s">
        <v>23</v>
      </c>
      <c r="D2" s="42" t="s">
        <v>27</v>
      </c>
      <c r="E2" s="43">
        <v>80000</v>
      </c>
      <c r="F2" s="44">
        <v>42125</v>
      </c>
      <c r="G2" s="43" t="s">
        <v>35</v>
      </c>
      <c r="I2" s="45" t="s">
        <v>214</v>
      </c>
      <c r="J2" s="45"/>
      <c r="L2" s="45" t="s">
        <v>222</v>
      </c>
      <c r="M2" s="45"/>
    </row>
    <row r="3" spans="1:13" x14ac:dyDescent="0.35">
      <c r="A3" s="40" t="s">
        <v>8</v>
      </c>
      <c r="B3" s="41" t="s">
        <v>16</v>
      </c>
      <c r="C3" s="42" t="s">
        <v>24</v>
      </c>
      <c r="D3" s="42" t="s">
        <v>28</v>
      </c>
      <c r="E3" s="43">
        <v>75000</v>
      </c>
      <c r="F3" s="44">
        <v>43446</v>
      </c>
      <c r="G3" s="43" t="s">
        <v>36</v>
      </c>
      <c r="I3" s="46" t="s">
        <v>215</v>
      </c>
      <c r="L3" s="46" t="s">
        <v>200</v>
      </c>
    </row>
    <row r="4" spans="1:13" x14ac:dyDescent="0.35">
      <c r="A4" s="40" t="s">
        <v>9</v>
      </c>
      <c r="B4" s="41" t="s">
        <v>17</v>
      </c>
      <c r="C4" s="42" t="s">
        <v>25</v>
      </c>
      <c r="D4" s="42" t="s">
        <v>29</v>
      </c>
      <c r="E4" s="43">
        <v>68000</v>
      </c>
      <c r="F4" s="44">
        <v>42814</v>
      </c>
      <c r="G4" s="43" t="s">
        <v>37</v>
      </c>
      <c r="I4" s="46" t="s">
        <v>216</v>
      </c>
      <c r="L4" s="46" t="s">
        <v>223</v>
      </c>
    </row>
    <row r="5" spans="1:13" x14ac:dyDescent="0.35">
      <c r="A5" s="40" t="s">
        <v>10</v>
      </c>
      <c r="B5" s="41" t="s">
        <v>18</v>
      </c>
      <c r="C5" s="42" t="s">
        <v>24</v>
      </c>
      <c r="D5" s="42" t="s">
        <v>30</v>
      </c>
      <c r="E5" s="43">
        <v>90000</v>
      </c>
      <c r="F5" s="44">
        <v>41470</v>
      </c>
      <c r="G5" s="43" t="s">
        <v>38</v>
      </c>
      <c r="I5" s="46" t="s">
        <v>217</v>
      </c>
      <c r="L5" s="46" t="s">
        <v>217</v>
      </c>
    </row>
    <row r="6" spans="1:13" x14ac:dyDescent="0.35">
      <c r="A6" s="40" t="s">
        <v>11</v>
      </c>
      <c r="B6" s="41" t="s">
        <v>19</v>
      </c>
      <c r="C6" s="42" t="s">
        <v>23</v>
      </c>
      <c r="D6" s="42" t="s">
        <v>31</v>
      </c>
      <c r="E6" s="43">
        <v>60000</v>
      </c>
      <c r="F6" s="44">
        <v>44082</v>
      </c>
      <c r="G6" s="43" t="s">
        <v>35</v>
      </c>
      <c r="I6" s="46" t="s">
        <v>218</v>
      </c>
      <c r="L6" s="46" t="s">
        <v>224</v>
      </c>
    </row>
    <row r="7" spans="1:13" x14ac:dyDescent="0.35">
      <c r="A7" s="40" t="s">
        <v>12</v>
      </c>
      <c r="B7" s="41" t="s">
        <v>20</v>
      </c>
      <c r="C7" s="42" t="s">
        <v>26</v>
      </c>
      <c r="D7" s="42" t="s">
        <v>32</v>
      </c>
      <c r="E7" s="43">
        <v>72000</v>
      </c>
      <c r="F7" s="44">
        <v>42684</v>
      </c>
      <c r="G7" s="43" t="s">
        <v>39</v>
      </c>
      <c r="I7" s="46" t="s">
        <v>219</v>
      </c>
      <c r="L7" s="46" t="s">
        <v>225</v>
      </c>
    </row>
    <row r="8" spans="1:13" x14ac:dyDescent="0.35">
      <c r="A8" s="40" t="s">
        <v>13</v>
      </c>
      <c r="B8" s="41" t="s">
        <v>21</v>
      </c>
      <c r="C8" s="42" t="s">
        <v>25</v>
      </c>
      <c r="D8" s="42" t="s">
        <v>33</v>
      </c>
      <c r="E8" s="43">
        <v>65000</v>
      </c>
      <c r="F8" s="44">
        <v>43619</v>
      </c>
      <c r="G8" s="43" t="s">
        <v>37</v>
      </c>
      <c r="I8" s="46" t="s">
        <v>221</v>
      </c>
      <c r="L8" s="46" t="s">
        <v>220</v>
      </c>
    </row>
    <row r="9" spans="1:13" x14ac:dyDescent="0.35">
      <c r="A9" s="40" t="s">
        <v>14</v>
      </c>
      <c r="B9" s="41" t="s">
        <v>22</v>
      </c>
      <c r="C9" s="42" t="s">
        <v>24</v>
      </c>
      <c r="D9" s="42" t="s">
        <v>34</v>
      </c>
      <c r="E9" s="43">
        <v>95000</v>
      </c>
      <c r="F9" s="44">
        <v>41699</v>
      </c>
      <c r="G9" s="43" t="s">
        <v>38</v>
      </c>
      <c r="I9" s="46" t="s">
        <v>220</v>
      </c>
    </row>
    <row r="11" spans="1:13" x14ac:dyDescent="0.35">
      <c r="G11" s="43"/>
    </row>
    <row r="12" spans="1:13" x14ac:dyDescent="0.35">
      <c r="E12" s="43"/>
    </row>
    <row r="14" spans="1:13" x14ac:dyDescent="0.35">
      <c r="G14" s="43"/>
    </row>
  </sheetData>
  <mergeCells count="2">
    <mergeCell ref="I2:J2"/>
    <mergeCell ref="L2:M2"/>
  </mergeCells>
  <conditionalFormatting sqref="E2:E9">
    <cfRule type="duplicateValues" dxfId="2" priority="1"/>
    <cfRule type="cellIs" dxfId="1" priority="3" operator="equal">
      <formula>77500</formula>
    </cfRule>
  </conditionalFormatting>
  <conditionalFormatting sqref="G2:G4">
    <cfRule type="top10" dxfId="0" priority="2" rank="10"/>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0941-AFB4-444D-9A0E-FED62C5462D3}">
  <dimension ref="A2:M15"/>
  <sheetViews>
    <sheetView tabSelected="1" topLeftCell="B1" workbookViewId="0">
      <selection activeCell="H22" sqref="H22"/>
    </sheetView>
  </sheetViews>
  <sheetFormatPr defaultRowHeight="14.5" x14ac:dyDescent="0.35"/>
  <cols>
    <col min="1" max="1" width="10.7265625" bestFit="1" customWidth="1"/>
    <col min="2" max="2" width="12.08984375" bestFit="1" customWidth="1"/>
    <col min="3" max="3" width="13.90625" bestFit="1" customWidth="1"/>
  </cols>
  <sheetData>
    <row r="2" spans="1:13" x14ac:dyDescent="0.35">
      <c r="B2" s="19" t="s">
        <v>229</v>
      </c>
    </row>
    <row r="3" spans="1:13" x14ac:dyDescent="0.35">
      <c r="B3" t="s">
        <v>227</v>
      </c>
      <c r="C3" t="s">
        <v>228</v>
      </c>
      <c r="D3" s="25" t="s">
        <v>200</v>
      </c>
      <c r="J3" s="35" t="s">
        <v>235</v>
      </c>
      <c r="K3" s="35"/>
    </row>
    <row r="4" spans="1:13" x14ac:dyDescent="0.35">
      <c r="A4" s="47" t="s">
        <v>25</v>
      </c>
      <c r="B4" s="48">
        <v>133000</v>
      </c>
      <c r="C4" s="48">
        <v>22166.666666666668</v>
      </c>
      <c r="D4" s="25" t="s">
        <v>206</v>
      </c>
      <c r="J4" s="25" t="s">
        <v>236</v>
      </c>
    </row>
    <row r="5" spans="1:13" x14ac:dyDescent="0.35">
      <c r="A5" s="47" t="s">
        <v>226</v>
      </c>
      <c r="B5" s="48">
        <v>133000</v>
      </c>
      <c r="C5" s="48">
        <v>22166.666666666668</v>
      </c>
      <c r="D5" s="25" t="s">
        <v>231</v>
      </c>
      <c r="J5" s="25" t="s">
        <v>237</v>
      </c>
    </row>
    <row r="6" spans="1:13" x14ac:dyDescent="0.35">
      <c r="D6" s="25" t="s">
        <v>232</v>
      </c>
      <c r="J6" s="25" t="s">
        <v>235</v>
      </c>
    </row>
    <row r="7" spans="1:13" x14ac:dyDescent="0.35">
      <c r="D7" s="25" t="s">
        <v>220</v>
      </c>
      <c r="J7" s="25" t="s">
        <v>238</v>
      </c>
    </row>
    <row r="8" spans="1:13" x14ac:dyDescent="0.35">
      <c r="E8" s="19" t="s">
        <v>230</v>
      </c>
      <c r="J8" s="25" t="s">
        <v>239</v>
      </c>
    </row>
    <row r="9" spans="1:13" x14ac:dyDescent="0.35">
      <c r="J9" s="25" t="s">
        <v>220</v>
      </c>
    </row>
    <row r="11" spans="1:13" x14ac:dyDescent="0.35">
      <c r="H11" s="25" t="s">
        <v>206</v>
      </c>
      <c r="M11" s="19" t="s">
        <v>240</v>
      </c>
    </row>
    <row r="12" spans="1:13" x14ac:dyDescent="0.35">
      <c r="H12" s="25" t="s">
        <v>233</v>
      </c>
      <c r="M12" s="25" t="s">
        <v>236</v>
      </c>
    </row>
    <row r="13" spans="1:13" x14ac:dyDescent="0.35">
      <c r="H13" s="25" t="s">
        <v>234</v>
      </c>
      <c r="M13" s="25" t="s">
        <v>243</v>
      </c>
    </row>
    <row r="14" spans="1:13" x14ac:dyDescent="0.35">
      <c r="M14" s="25" t="s">
        <v>241</v>
      </c>
    </row>
    <row r="15" spans="1:13" x14ac:dyDescent="0.35">
      <c r="M15" s="25" t="s">
        <v>242</v>
      </c>
    </row>
  </sheetData>
  <mergeCells count="1">
    <mergeCell ref="J3:K3"/>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P_1</vt:lpstr>
      <vt:lpstr>P_2</vt:lpstr>
      <vt:lpstr>P_3</vt:lpstr>
      <vt:lpstr>P_4</vt:lpstr>
      <vt:lpstr>P_5</vt:lpstr>
      <vt:lpstr>P_6</vt:lpstr>
      <vt:lpstr>P_7</vt:lpstr>
      <vt:lpstr>P_8</vt:lpstr>
      <vt:lpstr>P_9</vt:lpstr>
      <vt:lpstr>P_10</vt:lpstr>
      <vt:lpstr>P_11</vt:lpstr>
      <vt:lpstr>P_12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 K</dc:creator>
  <cp:lastModifiedBy>Venu K</cp:lastModifiedBy>
  <dcterms:created xsi:type="dcterms:W3CDTF">2024-12-13T10:46:40Z</dcterms:created>
  <dcterms:modified xsi:type="dcterms:W3CDTF">2024-12-18T16:29:34Z</dcterms:modified>
</cp:coreProperties>
</file>