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8776b28c30fa10f/Documents/"/>
    </mc:Choice>
  </mc:AlternateContent>
  <xr:revisionPtr revIDLastSave="1050" documentId="8_{2B349DEE-7E52-4557-9715-10ED7FCCFEBE}" xr6:coauthVersionLast="47" xr6:coauthVersionMax="47" xr10:uidLastSave="{590DF7BB-A03A-4541-B070-3374A1E667F1}"/>
  <bookViews>
    <workbookView xWindow="-108" yWindow="-108" windowWidth="23256" windowHeight="12456" activeTab="1" xr2:uid="{B472288B-C2E2-481A-B5F0-86C497B96CC3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3" i="2" l="1"/>
  <c r="R5" i="2"/>
  <c r="R18" i="3"/>
  <c r="R17" i="3"/>
  <c r="R16" i="3"/>
  <c r="R15" i="3"/>
  <c r="R14" i="3"/>
  <c r="U7" i="3"/>
  <c r="U6" i="3"/>
  <c r="U4" i="3"/>
  <c r="U3" i="3"/>
  <c r="R7" i="3"/>
  <c r="T4" i="3"/>
  <c r="P37" i="6"/>
  <c r="P36" i="6"/>
  <c r="P35" i="6"/>
  <c r="P34" i="6"/>
  <c r="P32" i="6"/>
  <c r="L35" i="6"/>
  <c r="L36" i="6"/>
  <c r="L37" i="6"/>
  <c r="L34" i="6"/>
  <c r="L32" i="6"/>
  <c r="K29" i="6"/>
  <c r="L29" i="6"/>
  <c r="M29" i="6"/>
  <c r="N29" i="6"/>
  <c r="O29" i="6"/>
  <c r="P29" i="6"/>
  <c r="Q29" i="6"/>
  <c r="J29" i="6"/>
  <c r="K28" i="6"/>
  <c r="L28" i="6"/>
  <c r="M28" i="6"/>
  <c r="N28" i="6"/>
  <c r="O28" i="6"/>
  <c r="P28" i="6"/>
  <c r="Q28" i="6"/>
  <c r="R28" i="6"/>
  <c r="J28" i="6"/>
  <c r="K27" i="6"/>
  <c r="L27" i="6"/>
  <c r="M27" i="6"/>
  <c r="N27" i="6"/>
  <c r="O27" i="6"/>
  <c r="P27" i="6"/>
  <c r="Q27" i="6"/>
  <c r="R27" i="6"/>
  <c r="J27" i="6"/>
  <c r="K26" i="6"/>
  <c r="L26" i="6"/>
  <c r="M26" i="6"/>
  <c r="N26" i="6"/>
  <c r="O26" i="6"/>
  <c r="P26" i="6"/>
  <c r="Q26" i="6"/>
  <c r="R26" i="6"/>
  <c r="J26" i="6"/>
  <c r="K25" i="6"/>
  <c r="L25" i="6"/>
  <c r="M25" i="6"/>
  <c r="N25" i="6"/>
  <c r="O25" i="6"/>
  <c r="P25" i="6"/>
  <c r="Q25" i="6"/>
  <c r="R25" i="6"/>
  <c r="J25" i="6"/>
  <c r="K24" i="6"/>
  <c r="L24" i="6"/>
  <c r="M24" i="6"/>
  <c r="N24" i="6"/>
  <c r="O24" i="6"/>
  <c r="P24" i="6"/>
  <c r="Q24" i="6"/>
  <c r="R24" i="6"/>
  <c r="J24" i="6"/>
  <c r="K22" i="6"/>
  <c r="L22" i="6"/>
  <c r="M22" i="6"/>
  <c r="N22" i="6"/>
  <c r="O22" i="6"/>
  <c r="P22" i="6"/>
  <c r="Q22" i="6"/>
  <c r="J22" i="6"/>
  <c r="K21" i="6"/>
  <c r="L21" i="6"/>
  <c r="M21" i="6"/>
  <c r="N21" i="6"/>
  <c r="O21" i="6"/>
  <c r="P21" i="6"/>
  <c r="Q21" i="6"/>
  <c r="J21" i="6"/>
  <c r="K20" i="6"/>
  <c r="L20" i="6"/>
  <c r="M20" i="6"/>
  <c r="N20" i="6"/>
  <c r="O20" i="6"/>
  <c r="P20" i="6"/>
  <c r="Q20" i="6"/>
  <c r="R20" i="6"/>
  <c r="J20" i="6"/>
  <c r="K18" i="6"/>
  <c r="L18" i="6"/>
  <c r="M18" i="6"/>
  <c r="N18" i="6"/>
  <c r="O18" i="6"/>
  <c r="P18" i="6"/>
  <c r="Q18" i="6"/>
  <c r="R18" i="6"/>
  <c r="J18" i="6"/>
  <c r="K17" i="6"/>
  <c r="L17" i="6"/>
  <c r="M17" i="6"/>
  <c r="N17" i="6"/>
  <c r="O17" i="6"/>
  <c r="P17" i="6"/>
  <c r="Q17" i="6"/>
  <c r="R17" i="6"/>
  <c r="J17" i="6"/>
  <c r="K16" i="6"/>
  <c r="L16" i="6"/>
  <c r="M16" i="6"/>
  <c r="N16" i="6"/>
  <c r="O16" i="6"/>
  <c r="P16" i="6"/>
  <c r="Q16" i="6"/>
  <c r="R16" i="6"/>
  <c r="J16" i="6"/>
  <c r="K19" i="6"/>
  <c r="L19" i="6"/>
  <c r="M19" i="6"/>
  <c r="N19" i="6"/>
  <c r="O19" i="6"/>
  <c r="P19" i="6"/>
  <c r="Q19" i="6"/>
  <c r="R19" i="6"/>
  <c r="J19" i="6"/>
  <c r="K14" i="6"/>
  <c r="L14" i="6"/>
  <c r="M14" i="6"/>
  <c r="N14" i="6"/>
  <c r="O14" i="6"/>
  <c r="P14" i="6"/>
  <c r="Q14" i="6"/>
  <c r="J14" i="6"/>
  <c r="K13" i="6"/>
  <c r="L13" i="6"/>
  <c r="M13" i="6"/>
  <c r="N13" i="6"/>
  <c r="O13" i="6"/>
  <c r="P13" i="6"/>
  <c r="Q13" i="6"/>
  <c r="J13" i="6"/>
  <c r="M26" i="5"/>
  <c r="M30" i="5"/>
  <c r="M29" i="5"/>
  <c r="M28" i="5"/>
  <c r="J29" i="5"/>
  <c r="J30" i="5"/>
  <c r="J28" i="5"/>
  <c r="J26" i="5"/>
  <c r="H30" i="5"/>
  <c r="H29" i="5"/>
  <c r="H26" i="5"/>
  <c r="H25" i="5"/>
  <c r="M23" i="5"/>
  <c r="L23" i="5"/>
  <c r="K23" i="5"/>
  <c r="J23" i="5"/>
  <c r="I23" i="5"/>
  <c r="H23" i="5"/>
  <c r="I22" i="5"/>
  <c r="J22" i="5"/>
  <c r="K22" i="5"/>
  <c r="L22" i="5"/>
  <c r="M22" i="5"/>
  <c r="H22" i="5"/>
  <c r="I20" i="5"/>
  <c r="J20" i="5"/>
  <c r="K20" i="5"/>
  <c r="L20" i="5"/>
  <c r="M20" i="5"/>
  <c r="H20" i="5"/>
  <c r="I21" i="5"/>
  <c r="J21" i="5"/>
  <c r="K21" i="5"/>
  <c r="L21" i="5"/>
  <c r="M21" i="5"/>
  <c r="H21" i="5"/>
  <c r="N16" i="5"/>
  <c r="N17" i="5"/>
  <c r="N15" i="5"/>
  <c r="I18" i="5"/>
  <c r="J18" i="5"/>
  <c r="K18" i="5"/>
  <c r="L18" i="5"/>
  <c r="M18" i="5"/>
  <c r="H18" i="5"/>
  <c r="I17" i="5"/>
  <c r="J17" i="5"/>
  <c r="K17" i="5"/>
  <c r="L17" i="5"/>
  <c r="M17" i="5"/>
  <c r="H17" i="5"/>
  <c r="I16" i="5"/>
  <c r="J16" i="5"/>
  <c r="K16" i="5"/>
  <c r="L16" i="5"/>
  <c r="M16" i="5"/>
  <c r="H16" i="5"/>
  <c r="I15" i="5"/>
  <c r="J15" i="5"/>
  <c r="K15" i="5"/>
  <c r="L15" i="5"/>
  <c r="M15" i="5"/>
  <c r="H15" i="5"/>
  <c r="N11" i="5"/>
  <c r="N12" i="5"/>
  <c r="N10" i="5"/>
  <c r="I13" i="5"/>
  <c r="J13" i="5"/>
  <c r="K13" i="5"/>
  <c r="L13" i="5"/>
  <c r="M13" i="5"/>
  <c r="H13" i="5"/>
  <c r="I11" i="5"/>
  <c r="J11" i="5"/>
  <c r="K11" i="5"/>
  <c r="L11" i="5"/>
  <c r="M11" i="5"/>
  <c r="H11" i="5"/>
  <c r="I10" i="5"/>
  <c r="J10" i="5"/>
  <c r="K10" i="5"/>
  <c r="L10" i="5"/>
  <c r="M10" i="5"/>
  <c r="H10" i="5"/>
  <c r="I12" i="5"/>
  <c r="J12" i="5"/>
  <c r="K12" i="5"/>
  <c r="L12" i="5"/>
  <c r="M12" i="5"/>
  <c r="H12" i="5"/>
  <c r="N6" i="5"/>
  <c r="N7" i="5"/>
  <c r="N5" i="5"/>
  <c r="N44" i="4"/>
  <c r="N43" i="4"/>
  <c r="N42" i="4"/>
  <c r="N40" i="4"/>
  <c r="K43" i="4"/>
  <c r="K44" i="4"/>
  <c r="K42" i="4"/>
  <c r="K40" i="4"/>
  <c r="J37" i="4"/>
  <c r="K37" i="4"/>
  <c r="L37" i="4"/>
  <c r="M37" i="4"/>
  <c r="I37" i="4"/>
  <c r="J36" i="4"/>
  <c r="K36" i="4"/>
  <c r="L36" i="4"/>
  <c r="M36" i="4"/>
  <c r="N36" i="4"/>
  <c r="I36" i="4"/>
  <c r="J35" i="4"/>
  <c r="K35" i="4"/>
  <c r="L35" i="4"/>
  <c r="M35" i="4"/>
  <c r="N35" i="4"/>
  <c r="I35" i="4"/>
  <c r="J33" i="4"/>
  <c r="K33" i="4"/>
  <c r="L33" i="4"/>
  <c r="M33" i="4"/>
  <c r="N33" i="4"/>
  <c r="I33" i="4"/>
  <c r="J34" i="4"/>
  <c r="K34" i="4"/>
  <c r="L34" i="4"/>
  <c r="M34" i="4"/>
  <c r="N34" i="4"/>
  <c r="I34" i="4"/>
  <c r="J31" i="4"/>
  <c r="K31" i="4"/>
  <c r="L31" i="4"/>
  <c r="M31" i="4"/>
  <c r="I31" i="4"/>
  <c r="J30" i="4"/>
  <c r="K30" i="4"/>
  <c r="L30" i="4"/>
  <c r="M30" i="4"/>
  <c r="I30" i="4"/>
  <c r="N22" i="4"/>
  <c r="J29" i="4"/>
  <c r="K29" i="4"/>
  <c r="L29" i="4"/>
  <c r="M29" i="4"/>
  <c r="N29" i="4"/>
  <c r="I29" i="4"/>
  <c r="J28" i="4"/>
  <c r="K28" i="4"/>
  <c r="L28" i="4"/>
  <c r="M28" i="4"/>
  <c r="N28" i="4"/>
  <c r="I28" i="4"/>
  <c r="J27" i="4"/>
  <c r="K27" i="4"/>
  <c r="L27" i="4"/>
  <c r="M27" i="4"/>
  <c r="N27" i="4"/>
  <c r="I27" i="4"/>
  <c r="J26" i="4"/>
  <c r="K26" i="4"/>
  <c r="L26" i="4"/>
  <c r="M26" i="4"/>
  <c r="N26" i="4"/>
  <c r="I26" i="4"/>
  <c r="J24" i="4"/>
  <c r="K24" i="4"/>
  <c r="L24" i="4"/>
  <c r="M24" i="4"/>
  <c r="I24" i="4"/>
  <c r="J23" i="4"/>
  <c r="K23" i="4"/>
  <c r="L23" i="4"/>
  <c r="M23" i="4"/>
  <c r="I23" i="4"/>
  <c r="J22" i="4"/>
  <c r="K22" i="4"/>
  <c r="L22" i="4"/>
  <c r="M22" i="4"/>
  <c r="I22" i="4"/>
  <c r="J20" i="4"/>
  <c r="K20" i="4"/>
  <c r="L20" i="4"/>
  <c r="M20" i="4"/>
  <c r="N20" i="4"/>
  <c r="I20" i="4"/>
  <c r="J19" i="4"/>
  <c r="K19" i="4"/>
  <c r="L19" i="4"/>
  <c r="M19" i="4"/>
  <c r="N19" i="4"/>
  <c r="I19" i="4"/>
  <c r="J21" i="4"/>
  <c r="K21" i="4"/>
  <c r="L21" i="4"/>
  <c r="M21" i="4"/>
  <c r="N21" i="4"/>
  <c r="I21" i="4"/>
  <c r="J17" i="4"/>
  <c r="K17" i="4"/>
  <c r="L17" i="4"/>
  <c r="M17" i="4"/>
  <c r="I17" i="4"/>
  <c r="J16" i="4"/>
  <c r="K16" i="4"/>
  <c r="L16" i="4"/>
  <c r="M16" i="4"/>
  <c r="I16" i="4"/>
  <c r="L25" i="3"/>
  <c r="L24" i="3"/>
  <c r="L23" i="3"/>
  <c r="L21" i="3"/>
  <c r="I24" i="3"/>
  <c r="I25" i="3"/>
  <c r="I23" i="3"/>
  <c r="I21" i="3"/>
  <c r="G25" i="3"/>
  <c r="G22" i="3"/>
  <c r="G21" i="3"/>
  <c r="G20" i="3"/>
  <c r="H18" i="3"/>
  <c r="I18" i="3"/>
  <c r="J18" i="3"/>
  <c r="K18" i="3"/>
  <c r="L18" i="3"/>
  <c r="G18" i="3"/>
  <c r="H15" i="3"/>
  <c r="I15" i="3"/>
  <c r="J15" i="3"/>
  <c r="K15" i="3"/>
  <c r="L15" i="3"/>
  <c r="G15" i="3"/>
  <c r="H16" i="3"/>
  <c r="I16" i="3"/>
  <c r="J16" i="3"/>
  <c r="K16" i="3"/>
  <c r="L16" i="3"/>
  <c r="G16" i="3"/>
  <c r="H17" i="3"/>
  <c r="I17" i="3"/>
  <c r="J17" i="3"/>
  <c r="K17" i="3"/>
  <c r="L17" i="3"/>
  <c r="G17" i="3"/>
  <c r="M11" i="3"/>
  <c r="M12" i="3"/>
  <c r="M10" i="3"/>
  <c r="H13" i="3"/>
  <c r="I13" i="3"/>
  <c r="J13" i="3"/>
  <c r="K13" i="3"/>
  <c r="L13" i="3"/>
  <c r="G13" i="3"/>
  <c r="H12" i="3"/>
  <c r="I12" i="3"/>
  <c r="J12" i="3"/>
  <c r="K12" i="3"/>
  <c r="L12" i="3"/>
  <c r="G12" i="3"/>
  <c r="H10" i="3"/>
  <c r="I10" i="3"/>
  <c r="J10" i="3"/>
  <c r="K10" i="3"/>
  <c r="L10" i="3"/>
  <c r="G10" i="3"/>
  <c r="H11" i="3"/>
  <c r="I11" i="3"/>
  <c r="J11" i="3"/>
  <c r="K11" i="3"/>
  <c r="L11" i="3"/>
  <c r="G11" i="3"/>
  <c r="M6" i="3"/>
  <c r="M7" i="3"/>
  <c r="M5" i="3"/>
  <c r="H32" i="2"/>
  <c r="M32" i="2"/>
  <c r="J32" i="2"/>
  <c r="L30" i="2"/>
  <c r="L29" i="2"/>
  <c r="L28" i="2"/>
  <c r="L27" i="2"/>
  <c r="J28" i="2"/>
  <c r="J29" i="2"/>
  <c r="J30" i="2"/>
  <c r="J27" i="2"/>
  <c r="H30" i="2"/>
  <c r="H29" i="2"/>
  <c r="H27" i="2"/>
  <c r="H26" i="2"/>
  <c r="I24" i="2"/>
  <c r="J24" i="2"/>
  <c r="K24" i="2"/>
  <c r="L24" i="2"/>
  <c r="M24" i="2"/>
  <c r="H24" i="2"/>
  <c r="I23" i="2"/>
  <c r="J23" i="2"/>
  <c r="K23" i="2"/>
  <c r="L23" i="2"/>
  <c r="M23" i="2"/>
  <c r="N23" i="2"/>
  <c r="H23" i="2"/>
  <c r="I22" i="2"/>
  <c r="J22" i="2"/>
  <c r="K22" i="2"/>
  <c r="L22" i="2"/>
  <c r="M22" i="2"/>
  <c r="N22" i="2"/>
  <c r="H22" i="2"/>
  <c r="I21" i="2"/>
  <c r="J21" i="2"/>
  <c r="K21" i="2"/>
  <c r="L21" i="2"/>
  <c r="M21" i="2"/>
  <c r="N21" i="2"/>
  <c r="H21" i="2"/>
  <c r="I20" i="2"/>
  <c r="J20" i="2"/>
  <c r="K20" i="2"/>
  <c r="L20" i="2"/>
  <c r="M20" i="2"/>
  <c r="N20" i="2"/>
  <c r="H20" i="2"/>
  <c r="I19" i="2"/>
  <c r="J19" i="2"/>
  <c r="K19" i="2"/>
  <c r="L19" i="2"/>
  <c r="M19" i="2"/>
  <c r="N19" i="2"/>
  <c r="H19" i="2"/>
  <c r="I17" i="2"/>
  <c r="J17" i="2"/>
  <c r="K17" i="2"/>
  <c r="L17" i="2"/>
  <c r="M17" i="2"/>
  <c r="H17" i="2"/>
  <c r="I16" i="2"/>
  <c r="J16" i="2"/>
  <c r="K16" i="2"/>
  <c r="L16" i="2"/>
  <c r="M16" i="2"/>
  <c r="H16" i="2"/>
  <c r="I15" i="2"/>
  <c r="J15" i="2"/>
  <c r="K15" i="2"/>
  <c r="L15" i="2"/>
  <c r="M15" i="2"/>
  <c r="N15" i="2"/>
  <c r="H15" i="2"/>
  <c r="I13" i="2"/>
  <c r="J13" i="2"/>
  <c r="K13" i="2"/>
  <c r="L13" i="2"/>
  <c r="M13" i="2"/>
  <c r="N13" i="2"/>
  <c r="H13" i="2"/>
  <c r="I12" i="2"/>
  <c r="J12" i="2"/>
  <c r="K12" i="2"/>
  <c r="L12" i="2"/>
  <c r="M12" i="2"/>
  <c r="N12" i="2"/>
  <c r="H12" i="2"/>
  <c r="I11" i="2"/>
  <c r="J11" i="2"/>
  <c r="K11" i="2"/>
  <c r="L11" i="2"/>
  <c r="M11" i="2"/>
  <c r="N11" i="2"/>
  <c r="H11" i="2"/>
  <c r="I14" i="2"/>
  <c r="J14" i="2"/>
  <c r="K14" i="2"/>
  <c r="L14" i="2"/>
  <c r="M14" i="2"/>
  <c r="N14" i="2"/>
  <c r="H14" i="2"/>
  <c r="I9" i="2"/>
  <c r="J9" i="2"/>
  <c r="K9" i="2"/>
  <c r="L9" i="2"/>
  <c r="M9" i="2"/>
  <c r="H9" i="2"/>
  <c r="I8" i="2" l="1"/>
  <c r="J8" i="2"/>
  <c r="K8" i="2"/>
  <c r="L8" i="2"/>
  <c r="M8" i="2"/>
  <c r="H8" i="2"/>
  <c r="M48" i="1" l="1"/>
  <c r="K48" i="1"/>
  <c r="M46" i="1"/>
  <c r="M45" i="1"/>
  <c r="K46" i="1"/>
  <c r="K45" i="1"/>
  <c r="J42" i="1"/>
  <c r="K42" i="1"/>
  <c r="L42" i="1"/>
  <c r="M42" i="1"/>
  <c r="I42" i="1"/>
  <c r="J41" i="1"/>
  <c r="K41" i="1"/>
  <c r="L41" i="1"/>
  <c r="M41" i="1"/>
  <c r="N41" i="1"/>
  <c r="I41" i="1"/>
  <c r="J39" i="1"/>
  <c r="K39" i="1"/>
  <c r="L39" i="1"/>
  <c r="M39" i="1"/>
  <c r="N39" i="1"/>
  <c r="I39" i="1"/>
  <c r="J40" i="1"/>
  <c r="K40" i="1"/>
  <c r="L40" i="1"/>
  <c r="M40" i="1"/>
  <c r="N40" i="1"/>
  <c r="I40" i="1"/>
  <c r="O35" i="1"/>
  <c r="O34" i="1"/>
  <c r="J36" i="1"/>
  <c r="K36" i="1"/>
  <c r="L36" i="1"/>
  <c r="M36" i="1"/>
  <c r="N36" i="1"/>
  <c r="I36" i="1"/>
  <c r="I37" i="1" s="1"/>
  <c r="J37" i="1"/>
  <c r="K37" i="1"/>
  <c r="L37" i="1"/>
  <c r="M37" i="1"/>
  <c r="I35" i="1"/>
  <c r="J35" i="1"/>
  <c r="K35" i="1"/>
  <c r="L35" i="1"/>
  <c r="M35" i="1"/>
  <c r="N35" i="1"/>
  <c r="J34" i="1"/>
  <c r="K34" i="1"/>
  <c r="L34" i="1"/>
  <c r="M34" i="1"/>
  <c r="N34" i="1"/>
  <c r="I34" i="1"/>
  <c r="O30" i="1"/>
  <c r="O29" i="1"/>
  <c r="AF19" i="1"/>
  <c r="AG19" i="1"/>
  <c r="AH19" i="1"/>
  <c r="AI19" i="1"/>
  <c r="AJ19" i="1"/>
  <c r="AK19" i="1"/>
  <c r="AE19" i="1"/>
  <c r="AF18" i="1"/>
  <c r="AG18" i="1"/>
  <c r="AH18" i="1"/>
  <c r="AI18" i="1"/>
  <c r="AJ18" i="1"/>
  <c r="AK18" i="1"/>
  <c r="AE18" i="1"/>
  <c r="AF17" i="1"/>
  <c r="AG17" i="1"/>
  <c r="AH17" i="1"/>
  <c r="AI17" i="1"/>
  <c r="AJ17" i="1"/>
  <c r="AK17" i="1"/>
  <c r="AL17" i="1"/>
  <c r="AE17" i="1"/>
  <c r="AF16" i="1"/>
  <c r="AG16" i="1"/>
  <c r="AH16" i="1"/>
  <c r="AI16" i="1"/>
  <c r="AJ16" i="1"/>
  <c r="AK16" i="1"/>
  <c r="AL16" i="1"/>
  <c r="AE16" i="1"/>
  <c r="AF14" i="1"/>
  <c r="AG14" i="1"/>
  <c r="AH14" i="1"/>
  <c r="AI14" i="1"/>
  <c r="AJ14" i="1"/>
  <c r="AK14" i="1"/>
  <c r="AL14" i="1"/>
  <c r="AE14" i="1"/>
  <c r="AF13" i="1"/>
  <c r="AG13" i="1"/>
  <c r="AH13" i="1"/>
  <c r="AI13" i="1"/>
  <c r="AJ13" i="1"/>
  <c r="AK13" i="1"/>
  <c r="AL13" i="1"/>
  <c r="AE13" i="1"/>
  <c r="AF15" i="1"/>
  <c r="AG15" i="1"/>
  <c r="AH15" i="1"/>
  <c r="AI15" i="1"/>
  <c r="AJ15" i="1"/>
  <c r="AK15" i="1"/>
  <c r="AL15" i="1"/>
  <c r="AE15" i="1"/>
  <c r="AF11" i="1"/>
  <c r="AE11" i="1"/>
  <c r="AK10" i="1"/>
  <c r="AK11" i="1" s="1"/>
  <c r="AJ10" i="1"/>
  <c r="AJ11" i="1" s="1"/>
  <c r="AI10" i="1"/>
  <c r="AI11" i="1" s="1"/>
  <c r="AH10" i="1"/>
  <c r="AH11" i="1" s="1"/>
  <c r="AG10" i="1"/>
  <c r="AG11" i="1" s="1"/>
  <c r="AF10" i="1"/>
  <c r="AE10" i="1"/>
  <c r="U17" i="1"/>
  <c r="V17" i="1"/>
  <c r="W17" i="1"/>
  <c r="X17" i="1"/>
  <c r="Y17" i="1"/>
  <c r="Z17" i="1"/>
  <c r="AA17" i="1"/>
  <c r="T17" i="1"/>
  <c r="T18" i="1"/>
  <c r="T19" i="1" s="1"/>
  <c r="Y19" i="1"/>
  <c r="Z19" i="1"/>
  <c r="U18" i="1"/>
  <c r="U19" i="1" s="1"/>
  <c r="V18" i="1"/>
  <c r="V19" i="1" s="1"/>
  <c r="W18" i="1"/>
  <c r="W19" i="1" s="1"/>
  <c r="X18" i="1"/>
  <c r="X19" i="1" s="1"/>
  <c r="Y18" i="1"/>
  <c r="Z18" i="1"/>
  <c r="U16" i="1"/>
  <c r="V16" i="1"/>
  <c r="W16" i="1"/>
  <c r="X16" i="1"/>
  <c r="Y16" i="1"/>
  <c r="Z16" i="1"/>
  <c r="AA16" i="1"/>
  <c r="T16" i="1"/>
  <c r="U14" i="1"/>
  <c r="V14" i="1"/>
  <c r="W14" i="1"/>
  <c r="X14" i="1"/>
  <c r="Y14" i="1"/>
  <c r="Z14" i="1"/>
  <c r="AA14" i="1"/>
  <c r="T14" i="1"/>
  <c r="U13" i="1"/>
  <c r="V13" i="1"/>
  <c r="W13" i="1"/>
  <c r="X13" i="1"/>
  <c r="Y13" i="1"/>
  <c r="Z13" i="1"/>
  <c r="AA13" i="1"/>
  <c r="T13" i="1"/>
  <c r="U15" i="1"/>
  <c r="V15" i="1"/>
  <c r="W15" i="1"/>
  <c r="X15" i="1"/>
  <c r="Y15" i="1"/>
  <c r="Z15" i="1"/>
  <c r="AA15" i="1"/>
  <c r="T15" i="1"/>
  <c r="Z10" i="1"/>
  <c r="Z11" i="1" s="1"/>
  <c r="Y10" i="1"/>
  <c r="Y11" i="1" s="1"/>
  <c r="X10" i="1"/>
  <c r="X11" i="1" s="1"/>
  <c r="W10" i="1"/>
  <c r="W11" i="1" s="1"/>
  <c r="V10" i="1"/>
  <c r="V11" i="1" s="1"/>
  <c r="U10" i="1"/>
  <c r="U11" i="1" s="1"/>
  <c r="T10" i="1"/>
  <c r="T11" i="1" s="1"/>
  <c r="J19" i="1"/>
  <c r="K19" i="1"/>
  <c r="L19" i="1"/>
  <c r="M19" i="1"/>
  <c r="N19" i="1"/>
  <c r="O19" i="1"/>
  <c r="I19" i="1"/>
  <c r="J18" i="1"/>
  <c r="K18" i="1"/>
  <c r="L18" i="1"/>
  <c r="M18" i="1"/>
  <c r="N18" i="1"/>
  <c r="O18" i="1"/>
  <c r="I18" i="1"/>
  <c r="J17" i="1"/>
  <c r="K17" i="1"/>
  <c r="L17" i="1"/>
  <c r="M17" i="1"/>
  <c r="N17" i="1"/>
  <c r="O17" i="1"/>
  <c r="P17" i="1"/>
  <c r="I17" i="1"/>
  <c r="J16" i="1"/>
  <c r="K16" i="1"/>
  <c r="L16" i="1"/>
  <c r="M16" i="1"/>
  <c r="N16" i="1"/>
  <c r="O16" i="1"/>
  <c r="P16" i="1"/>
  <c r="I16" i="1"/>
  <c r="J14" i="1"/>
  <c r="K14" i="1"/>
  <c r="L14" i="1"/>
  <c r="M14" i="1"/>
  <c r="N14" i="1"/>
  <c r="O14" i="1"/>
  <c r="P14" i="1"/>
  <c r="I14" i="1"/>
  <c r="J13" i="1"/>
  <c r="K13" i="1"/>
  <c r="L13" i="1"/>
  <c r="M13" i="1"/>
  <c r="N13" i="1"/>
  <c r="O13" i="1"/>
  <c r="P13" i="1"/>
  <c r="I13" i="1"/>
  <c r="J15" i="1"/>
  <c r="K15" i="1"/>
  <c r="L15" i="1"/>
  <c r="M15" i="1"/>
  <c r="N15" i="1"/>
  <c r="O15" i="1"/>
  <c r="P15" i="1"/>
  <c r="I15" i="1"/>
  <c r="J11" i="1"/>
  <c r="K11" i="1"/>
  <c r="L11" i="1"/>
  <c r="M11" i="1"/>
  <c r="N11" i="1"/>
  <c r="O11" i="1"/>
  <c r="I11" i="1"/>
  <c r="J10" i="1"/>
  <c r="K10" i="1"/>
  <c r="L10" i="1"/>
  <c r="M10" i="1"/>
  <c r="N10" i="1"/>
  <c r="O10" i="1"/>
  <c r="I10" i="1"/>
</calcChain>
</file>

<file path=xl/sharedStrings.xml><?xml version="1.0" encoding="utf-8"?>
<sst xmlns="http://schemas.openxmlformats.org/spreadsheetml/2006/main" count="467" uniqueCount="193">
  <si>
    <t>Máx Z= puntuación</t>
  </si>
  <si>
    <t>a=Núm de problemas de la lista 1</t>
  </si>
  <si>
    <t>b=Nún de problemas de la lista 2</t>
  </si>
  <si>
    <t>c=Núm de pronlemas de la lista 3</t>
  </si>
  <si>
    <t>Máx Z= 5a+4b+6c+235</t>
  </si>
  <si>
    <t>s.a.</t>
  </si>
  <si>
    <t>r5;r6;r7: a,b,c&gt;=0</t>
  </si>
  <si>
    <t>r1: 3a+2b+4c&lt;=3.5(60)=210</t>
  </si>
  <si>
    <t>r2: 3a+2b&lt;=2.5(60)=150</t>
  </si>
  <si>
    <t>r3: 5a+4b+6c&gt;=(600-235)=365</t>
  </si>
  <si>
    <t>r4:5a+4b+6c&lt;=(1000-235)=765</t>
  </si>
  <si>
    <t>Máx Z=5a+4b+6c+235+0h1+0h2+0h3+0h4</t>
  </si>
  <si>
    <t>3a+2b+4c+h1=210</t>
  </si>
  <si>
    <t>3a+2b+h2=150</t>
  </si>
  <si>
    <t>-5a-4b-6c+h3=-365</t>
  </si>
  <si>
    <t>5a+4b+6c+h4=765</t>
  </si>
  <si>
    <t>Cj</t>
  </si>
  <si>
    <t>a</t>
  </si>
  <si>
    <t>b</t>
  </si>
  <si>
    <t>c</t>
  </si>
  <si>
    <t>h1</t>
  </si>
  <si>
    <t>h2</t>
  </si>
  <si>
    <t>h3</t>
  </si>
  <si>
    <t>h4</t>
  </si>
  <si>
    <t>Zj</t>
  </si>
  <si>
    <t>Cj-Zj</t>
  </si>
  <si>
    <t>-4c+h1</t>
  </si>
  <si>
    <t>-6c+h4</t>
  </si>
  <si>
    <t>No hay criterio de elección, no se puede continuar y el resultado no puede ser valido porque se tiene una cariable excedente negativa</t>
  </si>
  <si>
    <t>-2b+h1</t>
  </si>
  <si>
    <t>-2b+h2</t>
  </si>
  <si>
    <t>-4b+h4</t>
  </si>
  <si>
    <t>-3a+h1</t>
  </si>
  <si>
    <t>-3a+h2</t>
  </si>
  <si>
    <t>-5a+h4</t>
  </si>
  <si>
    <t>-1/2b+c</t>
  </si>
  <si>
    <t>a=</t>
  </si>
  <si>
    <t>b=</t>
  </si>
  <si>
    <t>c=</t>
  </si>
  <si>
    <t>h1=</t>
  </si>
  <si>
    <t>h2=</t>
  </si>
  <si>
    <t>Zj=</t>
  </si>
  <si>
    <t>Comprobando</t>
  </si>
  <si>
    <t>Máx Z=5a+4b+6c+235+0h1+0h2</t>
  </si>
  <si>
    <t>Mín Z= horas de estudio</t>
  </si>
  <si>
    <t>x=cursos de administración</t>
  </si>
  <si>
    <t>y=cursos ajenos de administración</t>
  </si>
  <si>
    <t>Mín Z= 120x+200y</t>
  </si>
  <si>
    <t>r1: 600x+240y&lt;=30000</t>
  </si>
  <si>
    <t>r2:x&gt;=23</t>
  </si>
  <si>
    <t>r3:y&gt;=20</t>
  </si>
  <si>
    <t>r4:x+y&gt;=65</t>
  </si>
  <si>
    <t>r5;r6: x,y&gt;=0</t>
  </si>
  <si>
    <t>Máx Z=beneficio</t>
  </si>
  <si>
    <t>A= # impresos de empresa A</t>
  </si>
  <si>
    <t>B= # impresos de empresa B</t>
  </si>
  <si>
    <t>Máx Z= 0.5A+0.7B</t>
  </si>
  <si>
    <t>r2:B&lt;=10000</t>
  </si>
  <si>
    <t>r1: A&lt;=12000</t>
  </si>
  <si>
    <t>r3: A+B&lt;=15000</t>
  </si>
  <si>
    <t>r4;r5: A,B&gt;=0</t>
  </si>
  <si>
    <t>Mín Z= Costo de contenedores</t>
  </si>
  <si>
    <t>A= # de contenedores de proveedor A</t>
  </si>
  <si>
    <t>B= # de contenedores de proveedor B</t>
  </si>
  <si>
    <t>A</t>
  </si>
  <si>
    <t>B</t>
  </si>
  <si>
    <t>Lang</t>
  </si>
  <si>
    <t>Nécoras</t>
  </si>
  <si>
    <t>Percebes</t>
  </si>
  <si>
    <t>&gt;=16</t>
  </si>
  <si>
    <t>&gt;=5</t>
  </si>
  <si>
    <t>&gt;=20</t>
  </si>
  <si>
    <t>r1: 8A+2B&gt;=16</t>
  </si>
  <si>
    <t>r2: A+B&gt;=5</t>
  </si>
  <si>
    <t>r3: 2A+7B &gt;=20</t>
  </si>
  <si>
    <t>Mín Z=200A+300B=100(2A+3B)</t>
  </si>
  <si>
    <t>Máx Z= ingresos</t>
  </si>
  <si>
    <t>l= # de libreros a producir</t>
  </si>
  <si>
    <t>e = # de escritorios a producir</t>
  </si>
  <si>
    <t>Máx Z= 9000l+10000e</t>
  </si>
  <si>
    <t>l</t>
  </si>
  <si>
    <t>e</t>
  </si>
  <si>
    <t>&lt;=700</t>
  </si>
  <si>
    <t>&lt;=800</t>
  </si>
  <si>
    <t>&lt;=900</t>
  </si>
  <si>
    <t>madera</t>
  </si>
  <si>
    <t>tubo</t>
  </si>
  <si>
    <t>lija</t>
  </si>
  <si>
    <t>r1: 7l+10e&lt;=700</t>
  </si>
  <si>
    <t>r2: 10l+8e&lt;=800</t>
  </si>
  <si>
    <t>r3: 6l+15e&lt;=900</t>
  </si>
  <si>
    <t>r4;r5: l,e&gt;=0</t>
  </si>
  <si>
    <t>Mín Z=combustible</t>
  </si>
  <si>
    <t>A=</t>
  </si>
  <si>
    <t>B=</t>
  </si>
  <si>
    <t>C=</t>
  </si>
  <si>
    <t>D=</t>
  </si>
  <si>
    <t>A= Núm. De vehículo tipo A</t>
  </si>
  <si>
    <t>B= Núm. De vehículo tipo B</t>
  </si>
  <si>
    <t>C= Núm. De vehículo tipo C</t>
  </si>
  <si>
    <t>D= Núm. De vehículo tipo D</t>
  </si>
  <si>
    <t>Mín Z= 160A+80B+40C+120D</t>
  </si>
  <si>
    <t>r1: 3A+B+2C+3D&gt;=50</t>
  </si>
  <si>
    <t>r2: 2A+B+C+2D&gt;=36</t>
  </si>
  <si>
    <t>r3: A+2B+2C+3D&gt;=22</t>
  </si>
  <si>
    <t>r4: 4A+3B+C+D&gt;=120</t>
  </si>
  <si>
    <t>r5;r6;r7;r8: A,B,C,D&gt;=0</t>
  </si>
  <si>
    <t>600x+240y+h1=30000</t>
  </si>
  <si>
    <t>-x+h2=-23</t>
  </si>
  <si>
    <t>-x-y+h4=-65</t>
  </si>
  <si>
    <t>Mín Z= 120x+200y+0h1+0h2+0h3+0h4</t>
  </si>
  <si>
    <t>x</t>
  </si>
  <si>
    <t>y</t>
  </si>
  <si>
    <t>-y+h3=-20</t>
  </si>
  <si>
    <t>-600x+h1</t>
  </si>
  <si>
    <t>x+h2</t>
  </si>
  <si>
    <t>-y+h2</t>
  </si>
  <si>
    <t>-y+x</t>
  </si>
  <si>
    <t>y+h3</t>
  </si>
  <si>
    <t>x=</t>
  </si>
  <si>
    <t>y=</t>
  </si>
  <si>
    <t>h3=</t>
  </si>
  <si>
    <t>h4=</t>
  </si>
  <si>
    <t>A+h1=12000</t>
  </si>
  <si>
    <t>B+h2=10000</t>
  </si>
  <si>
    <t>A+B+h3=15000</t>
  </si>
  <si>
    <t>Máx Z= 0.5A+0.7B+0h1+0h2+0h3</t>
  </si>
  <si>
    <t>-B+h3</t>
  </si>
  <si>
    <t>0.7B+Zj</t>
  </si>
  <si>
    <t>-A+h1</t>
  </si>
  <si>
    <t>0.5A+Zj</t>
  </si>
  <si>
    <t>-8A-2B+h1=-16</t>
  </si>
  <si>
    <t>-A-B+h2=-5</t>
  </si>
  <si>
    <t>-2A-7B+h3=-20</t>
  </si>
  <si>
    <t>Mín Z=200A+300B+0h1+0h2+0h3</t>
  </si>
  <si>
    <t>2B+h1</t>
  </si>
  <si>
    <t>B+h2</t>
  </si>
  <si>
    <t>5/7A+h2</t>
  </si>
  <si>
    <t>-2/7A+B</t>
  </si>
  <si>
    <t>7/52h1+A</t>
  </si>
  <si>
    <t>-1/26h1+B</t>
  </si>
  <si>
    <t>7l+10e+h1=700</t>
  </si>
  <si>
    <t>10l+8e+h2=800</t>
  </si>
  <si>
    <t>6l+15e+h3=900</t>
  </si>
  <si>
    <t>Máx Z= 9000l+10000e+0h1+0h2+0h3</t>
  </si>
  <si>
    <t>-10e+h1</t>
  </si>
  <si>
    <t>-8e+h2</t>
  </si>
  <si>
    <t>9000e+Zj</t>
  </si>
  <si>
    <t>-34/5l+h2</t>
  </si>
  <si>
    <t>-2/5l+e</t>
  </si>
  <si>
    <t>5000l+Zj</t>
  </si>
  <si>
    <t>2/9h3+l</t>
  </si>
  <si>
    <t>-7/45h3+e</t>
  </si>
  <si>
    <t>444 4/9h3+Zj</t>
  </si>
  <si>
    <t>l=</t>
  </si>
  <si>
    <t>e=</t>
  </si>
  <si>
    <t>-3A-B-2C-3D+h1=-50</t>
  </si>
  <si>
    <t>-2A-B-C-2D+h2=-36</t>
  </si>
  <si>
    <t>-A-2B-2C-3D+h3=-22</t>
  </si>
  <si>
    <t>-4A-3B-C-D+h4=-120</t>
  </si>
  <si>
    <t>Mín Z= 160A+80B+40C+120D+0h1+0h2+0h3+0h4</t>
  </si>
  <si>
    <t>C</t>
  </si>
  <si>
    <t>D</t>
  </si>
  <si>
    <t>B+h1</t>
  </si>
  <si>
    <t>2B+h3</t>
  </si>
  <si>
    <t>2/3C+h2</t>
  </si>
  <si>
    <t>4/3C+h3</t>
  </si>
  <si>
    <t>-1/3C+B</t>
  </si>
  <si>
    <t>Método Analítico</t>
  </si>
  <si>
    <t>1 y 2</t>
  </si>
  <si>
    <t>1 y 3</t>
  </si>
  <si>
    <t>1 y  4</t>
  </si>
  <si>
    <t>1 y 5</t>
  </si>
  <si>
    <t>2 y 3</t>
  </si>
  <si>
    <t>2 y 4</t>
  </si>
  <si>
    <t>2 y 5</t>
  </si>
  <si>
    <t>3 y 4</t>
  </si>
  <si>
    <t>3 y 5</t>
  </si>
  <si>
    <t>4 y 5</t>
  </si>
  <si>
    <t>Z1(12000,3000)</t>
  </si>
  <si>
    <t>Z2(12000,0)</t>
  </si>
  <si>
    <t>Z3(5000,10000)</t>
  </si>
  <si>
    <t>Z4(0,10000)</t>
  </si>
  <si>
    <t>Z5(0,0)</t>
  </si>
  <si>
    <t>Máx</t>
  </si>
  <si>
    <t>Método Gráfico</t>
  </si>
  <si>
    <t>z=cte=0</t>
  </si>
  <si>
    <t>120x+200y=0</t>
  </si>
  <si>
    <t>200y=-120x</t>
  </si>
  <si>
    <t>y= -3/5 x</t>
  </si>
  <si>
    <t>Min(40,25)</t>
  </si>
  <si>
    <t>Metodo Analitico</t>
  </si>
  <si>
    <t>1 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</si>
</sst>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4" formatCode="#\ ???/???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0" fillId="3" borderId="0" xfId="0" applyNumberFormat="1" applyFill="1"/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/>
    <xf numFmtId="0" fontId="0" fillId="5" borderId="0" xfId="0" applyFill="1"/>
    <xf numFmtId="164" fontId="0" fillId="5" borderId="0" xfId="0" applyNumberFormat="1" applyFill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6" fontId="0" fillId="0" borderId="0" xfId="0" applyNumberFormat="1" applyAlignment="1">
      <alignment horizontal="center"/>
    </xf>
    <xf numFmtId="164" fontId="0" fillId="4" borderId="0" xfId="0" applyNumberFormat="1" applyFill="1"/>
    <xf numFmtId="164" fontId="0" fillId="0" borderId="1" xfId="0" applyNumberFormat="1" applyBorder="1"/>
    <xf numFmtId="164" fontId="0" fillId="0" borderId="1" xfId="0" applyNumberFormat="1" applyFill="1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/>
    <xf numFmtId="0" fontId="0" fillId="6" borderId="1" xfId="0" applyFill="1" applyBorder="1"/>
    <xf numFmtId="0" fontId="0" fillId="3" borderId="1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198119</xdr:colOff>
      <xdr:row>5</xdr:row>
      <xdr:rowOff>141330</xdr:rowOff>
    </xdr:from>
    <xdr:to>
      <xdr:col>26</xdr:col>
      <xdr:colOff>84066</xdr:colOff>
      <xdr:row>30</xdr:row>
      <xdr:rowOff>102099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71BD15-7446-3D83-7312-44D20E4BD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399" y="1055730"/>
          <a:ext cx="8603227" cy="45327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7A7B-7486-45D8-B26B-87B5CE997E20}">
  <dimension ref="A1:AL49"/>
  <sheetViews>
    <sheetView topLeftCell="A25" workbookViewId="0">
      <selection activeCell="J50" sqref="J50"/>
    </sheetView>
  </sheetViews>
  <sheetFormatPr baseColWidth="10" defaultRowHeight="14.4" x14ac:dyDescent="0.3"/>
  <sheetData>
    <row r="1" spans="1:38" x14ac:dyDescent="0.3">
      <c r="A1" t="s">
        <v>0</v>
      </c>
    </row>
    <row r="2" spans="1:38" x14ac:dyDescent="0.3">
      <c r="A2" t="s">
        <v>1</v>
      </c>
    </row>
    <row r="3" spans="1:38" x14ac:dyDescent="0.3">
      <c r="A3" t="s">
        <v>2</v>
      </c>
      <c r="H3" s="2" t="s">
        <v>16</v>
      </c>
      <c r="I3" s="2">
        <v>5</v>
      </c>
      <c r="J3" s="2">
        <v>4</v>
      </c>
      <c r="K3" s="2">
        <v>6</v>
      </c>
      <c r="L3" s="2">
        <v>0</v>
      </c>
      <c r="M3" s="2">
        <v>0</v>
      </c>
      <c r="N3" s="2">
        <v>0</v>
      </c>
      <c r="O3" s="2">
        <v>0</v>
      </c>
      <c r="S3" s="2" t="s">
        <v>16</v>
      </c>
      <c r="T3" s="2">
        <v>5</v>
      </c>
      <c r="U3" s="2">
        <v>4</v>
      </c>
      <c r="V3" s="2">
        <v>6</v>
      </c>
      <c r="W3" s="2">
        <v>0</v>
      </c>
      <c r="X3" s="2">
        <v>0</v>
      </c>
      <c r="Y3" s="2">
        <v>0</v>
      </c>
      <c r="Z3" s="2">
        <v>0</v>
      </c>
      <c r="AD3" s="2" t="s">
        <v>16</v>
      </c>
      <c r="AE3" s="2">
        <v>5</v>
      </c>
      <c r="AF3" s="2">
        <v>4</v>
      </c>
      <c r="AG3" s="2">
        <v>6</v>
      </c>
      <c r="AH3" s="2">
        <v>0</v>
      </c>
      <c r="AI3" s="2">
        <v>0</v>
      </c>
      <c r="AJ3" s="2">
        <v>0</v>
      </c>
      <c r="AK3" s="2">
        <v>0</v>
      </c>
    </row>
    <row r="4" spans="1:38" x14ac:dyDescent="0.3">
      <c r="A4" t="s">
        <v>3</v>
      </c>
      <c r="I4" s="3" t="s">
        <v>17</v>
      </c>
      <c r="J4" s="3" t="s">
        <v>18</v>
      </c>
      <c r="K4" s="3" t="s">
        <v>19</v>
      </c>
      <c r="L4" s="3" t="s">
        <v>20</v>
      </c>
      <c r="M4" s="3" t="s">
        <v>21</v>
      </c>
      <c r="N4" s="3" t="s">
        <v>22</v>
      </c>
      <c r="O4" s="3" t="s">
        <v>23</v>
      </c>
      <c r="T4" s="3" t="s">
        <v>17</v>
      </c>
      <c r="U4" s="3" t="s">
        <v>18</v>
      </c>
      <c r="V4" s="3" t="s">
        <v>19</v>
      </c>
      <c r="W4" s="3" t="s">
        <v>20</v>
      </c>
      <c r="X4" s="3" t="s">
        <v>21</v>
      </c>
      <c r="Y4" s="3" t="s">
        <v>22</v>
      </c>
      <c r="Z4" s="3" t="s">
        <v>23</v>
      </c>
      <c r="AE4" s="3" t="s">
        <v>17</v>
      </c>
      <c r="AF4" s="3" t="s">
        <v>18</v>
      </c>
      <c r="AG4" s="3" t="s">
        <v>19</v>
      </c>
      <c r="AH4" s="3" t="s">
        <v>20</v>
      </c>
      <c r="AI4" s="3" t="s">
        <v>21</v>
      </c>
      <c r="AJ4" s="3" t="s">
        <v>22</v>
      </c>
      <c r="AK4" s="3" t="s">
        <v>23</v>
      </c>
    </row>
    <row r="5" spans="1:38" x14ac:dyDescent="0.3">
      <c r="A5" t="s">
        <v>4</v>
      </c>
      <c r="D5" t="s">
        <v>11</v>
      </c>
      <c r="H5" s="2" t="s">
        <v>20</v>
      </c>
      <c r="I5">
        <v>3</v>
      </c>
      <c r="J5">
        <v>2</v>
      </c>
      <c r="K5" s="4">
        <v>4</v>
      </c>
      <c r="L5">
        <v>1</v>
      </c>
      <c r="M5">
        <v>0</v>
      </c>
      <c r="N5">
        <v>0</v>
      </c>
      <c r="O5">
        <v>0</v>
      </c>
      <c r="P5">
        <v>210</v>
      </c>
      <c r="S5" s="2" t="s">
        <v>20</v>
      </c>
      <c r="T5">
        <v>3</v>
      </c>
      <c r="U5" s="4">
        <v>2</v>
      </c>
      <c r="V5">
        <v>4</v>
      </c>
      <c r="W5">
        <v>1</v>
      </c>
      <c r="X5">
        <v>0</v>
      </c>
      <c r="Y5">
        <v>0</v>
      </c>
      <c r="Z5">
        <v>0</v>
      </c>
      <c r="AA5">
        <v>210</v>
      </c>
      <c r="AD5" s="2" t="s">
        <v>20</v>
      </c>
      <c r="AE5" s="4">
        <v>3</v>
      </c>
      <c r="AF5">
        <v>2</v>
      </c>
      <c r="AG5">
        <v>4</v>
      </c>
      <c r="AH5">
        <v>1</v>
      </c>
      <c r="AI5">
        <v>0</v>
      </c>
      <c r="AJ5">
        <v>0</v>
      </c>
      <c r="AK5">
        <v>0</v>
      </c>
      <c r="AL5">
        <v>210</v>
      </c>
    </row>
    <row r="6" spans="1:38" x14ac:dyDescent="0.3">
      <c r="A6" t="s">
        <v>5</v>
      </c>
      <c r="H6" s="2" t="s">
        <v>21</v>
      </c>
      <c r="I6">
        <v>3</v>
      </c>
      <c r="J6">
        <v>2</v>
      </c>
      <c r="K6" s="4">
        <v>0</v>
      </c>
      <c r="L6">
        <v>0</v>
      </c>
      <c r="M6">
        <v>1</v>
      </c>
      <c r="N6">
        <v>0</v>
      </c>
      <c r="O6">
        <v>0</v>
      </c>
      <c r="P6">
        <v>150</v>
      </c>
      <c r="S6" s="2" t="s">
        <v>21</v>
      </c>
      <c r="T6">
        <v>3</v>
      </c>
      <c r="U6" s="4">
        <v>2</v>
      </c>
      <c r="V6">
        <v>0</v>
      </c>
      <c r="W6">
        <v>0</v>
      </c>
      <c r="X6">
        <v>1</v>
      </c>
      <c r="Y6">
        <v>0</v>
      </c>
      <c r="Z6">
        <v>0</v>
      </c>
      <c r="AA6">
        <v>150</v>
      </c>
      <c r="AD6" s="2" t="s">
        <v>21</v>
      </c>
      <c r="AE6" s="4">
        <v>3</v>
      </c>
      <c r="AF6">
        <v>2</v>
      </c>
      <c r="AG6">
        <v>0</v>
      </c>
      <c r="AH6">
        <v>0</v>
      </c>
      <c r="AI6">
        <v>1</v>
      </c>
      <c r="AJ6">
        <v>0</v>
      </c>
      <c r="AK6">
        <v>0</v>
      </c>
      <c r="AL6">
        <v>150</v>
      </c>
    </row>
    <row r="7" spans="1:38" x14ac:dyDescent="0.3">
      <c r="A7" t="s">
        <v>7</v>
      </c>
      <c r="D7" t="s">
        <v>12</v>
      </c>
      <c r="H7" s="2" t="s">
        <v>22</v>
      </c>
      <c r="I7" s="4">
        <v>-5</v>
      </c>
      <c r="J7" s="4">
        <v>-4</v>
      </c>
      <c r="K7" s="4">
        <v>-6</v>
      </c>
      <c r="L7" s="4">
        <v>0</v>
      </c>
      <c r="M7" s="4">
        <v>0</v>
      </c>
      <c r="N7" s="4">
        <v>1</v>
      </c>
      <c r="O7" s="4">
        <v>0</v>
      </c>
      <c r="P7" s="4">
        <v>-365</v>
      </c>
      <c r="S7" s="2" t="s">
        <v>22</v>
      </c>
      <c r="T7" s="4">
        <v>-5</v>
      </c>
      <c r="U7" s="4">
        <v>-4</v>
      </c>
      <c r="V7" s="4">
        <v>-6</v>
      </c>
      <c r="W7" s="4">
        <v>0</v>
      </c>
      <c r="X7" s="4">
        <v>0</v>
      </c>
      <c r="Y7" s="4">
        <v>1</v>
      </c>
      <c r="Z7" s="4">
        <v>0</v>
      </c>
      <c r="AA7" s="4">
        <v>-365</v>
      </c>
      <c r="AD7" s="2" t="s">
        <v>22</v>
      </c>
      <c r="AE7" s="4">
        <v>-5</v>
      </c>
      <c r="AF7" s="4">
        <v>-4</v>
      </c>
      <c r="AG7" s="4">
        <v>-6</v>
      </c>
      <c r="AH7" s="4">
        <v>0</v>
      </c>
      <c r="AI7" s="4">
        <v>0</v>
      </c>
      <c r="AJ7" s="4">
        <v>1</v>
      </c>
      <c r="AK7" s="4">
        <v>0</v>
      </c>
      <c r="AL7" s="4">
        <v>-365</v>
      </c>
    </row>
    <row r="8" spans="1:38" x14ac:dyDescent="0.3">
      <c r="A8" t="s">
        <v>8</v>
      </c>
      <c r="D8" t="s">
        <v>13</v>
      </c>
      <c r="H8" s="2" t="s">
        <v>23</v>
      </c>
      <c r="I8">
        <v>5</v>
      </c>
      <c r="J8">
        <v>4</v>
      </c>
      <c r="K8" s="4">
        <v>6</v>
      </c>
      <c r="L8">
        <v>0</v>
      </c>
      <c r="M8">
        <v>0</v>
      </c>
      <c r="N8">
        <v>0</v>
      </c>
      <c r="O8">
        <v>1</v>
      </c>
      <c r="P8">
        <v>765</v>
      </c>
      <c r="S8" s="2" t="s">
        <v>23</v>
      </c>
      <c r="T8">
        <v>5</v>
      </c>
      <c r="U8" s="4">
        <v>4</v>
      </c>
      <c r="V8">
        <v>6</v>
      </c>
      <c r="W8">
        <v>0</v>
      </c>
      <c r="X8">
        <v>0</v>
      </c>
      <c r="Y8">
        <v>0</v>
      </c>
      <c r="Z8">
        <v>1</v>
      </c>
      <c r="AA8">
        <v>765</v>
      </c>
      <c r="AD8" s="2" t="s">
        <v>23</v>
      </c>
      <c r="AE8" s="4">
        <v>5</v>
      </c>
      <c r="AF8">
        <v>4</v>
      </c>
      <c r="AG8">
        <v>6</v>
      </c>
      <c r="AH8">
        <v>0</v>
      </c>
      <c r="AI8">
        <v>0</v>
      </c>
      <c r="AJ8">
        <v>0</v>
      </c>
      <c r="AK8">
        <v>1</v>
      </c>
      <c r="AL8">
        <v>765</v>
      </c>
    </row>
    <row r="9" spans="1:38" x14ac:dyDescent="0.3">
      <c r="A9" t="s">
        <v>9</v>
      </c>
      <c r="D9" s="1" t="s">
        <v>14</v>
      </c>
      <c r="H9" s="2" t="s">
        <v>24</v>
      </c>
      <c r="I9">
        <v>0</v>
      </c>
      <c r="J9">
        <v>0</v>
      </c>
      <c r="K9" s="4">
        <v>0</v>
      </c>
      <c r="L9">
        <v>0</v>
      </c>
      <c r="M9">
        <v>0</v>
      </c>
      <c r="N9">
        <v>0</v>
      </c>
      <c r="O9">
        <v>0</v>
      </c>
      <c r="P9">
        <v>0</v>
      </c>
      <c r="S9" s="2" t="s">
        <v>24</v>
      </c>
      <c r="T9">
        <v>0</v>
      </c>
      <c r="U9" s="4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D9" s="2" t="s">
        <v>24</v>
      </c>
      <c r="AE9" s="4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10</v>
      </c>
      <c r="D10" t="s">
        <v>15</v>
      </c>
      <c r="H10" s="2" t="s">
        <v>25</v>
      </c>
      <c r="I10">
        <f>I3-I9</f>
        <v>5</v>
      </c>
      <c r="J10">
        <f t="shared" ref="J10:O10" si="0">J3-J9</f>
        <v>4</v>
      </c>
      <c r="K10" s="4">
        <f t="shared" si="0"/>
        <v>6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S10" s="2" t="s">
        <v>25</v>
      </c>
      <c r="T10">
        <f>T3-T9</f>
        <v>5</v>
      </c>
      <c r="U10" s="4">
        <f t="shared" ref="U10" si="1">U3-U9</f>
        <v>4</v>
      </c>
      <c r="V10">
        <f t="shared" ref="V10" si="2">V3-V9</f>
        <v>6</v>
      </c>
      <c r="W10">
        <f t="shared" ref="W10" si="3">W3-W9</f>
        <v>0</v>
      </c>
      <c r="X10">
        <f t="shared" ref="X10" si="4">X3-X9</f>
        <v>0</v>
      </c>
      <c r="Y10">
        <f t="shared" ref="Y10" si="5">Y3-Y9</f>
        <v>0</v>
      </c>
      <c r="Z10">
        <f t="shared" ref="Z10" si="6">Z3-Z9</f>
        <v>0</v>
      </c>
      <c r="AD10" s="2" t="s">
        <v>25</v>
      </c>
      <c r="AE10" s="4">
        <f>AE3-AE9</f>
        <v>5</v>
      </c>
      <c r="AF10">
        <f t="shared" ref="AF10" si="7">AF3-AF9</f>
        <v>4</v>
      </c>
      <c r="AG10">
        <f t="shared" ref="AG10" si="8">AG3-AG9</f>
        <v>6</v>
      </c>
      <c r="AH10">
        <f t="shared" ref="AH10" si="9">AH3-AH9</f>
        <v>0</v>
      </c>
      <c r="AI10">
        <f t="shared" ref="AI10" si="10">AI3-AI9</f>
        <v>0</v>
      </c>
      <c r="AJ10">
        <f t="shared" ref="AJ10" si="11">AJ3-AJ9</f>
        <v>0</v>
      </c>
      <c r="AK10">
        <f t="shared" ref="AK10" si="12">AK3-AK9</f>
        <v>0</v>
      </c>
    </row>
    <row r="11" spans="1:38" x14ac:dyDescent="0.3">
      <c r="A11" t="s">
        <v>6</v>
      </c>
      <c r="I11" s="5">
        <f>I10/I7</f>
        <v>-1</v>
      </c>
      <c r="J11" s="5">
        <f t="shared" ref="J11:O11" si="13">J10/J7</f>
        <v>-1</v>
      </c>
      <c r="K11" s="5">
        <f t="shared" si="13"/>
        <v>-1</v>
      </c>
      <c r="L11" s="5" t="e">
        <f t="shared" si="13"/>
        <v>#DIV/0!</v>
      </c>
      <c r="M11" s="5" t="e">
        <f t="shared" si="13"/>
        <v>#DIV/0!</v>
      </c>
      <c r="N11" s="5">
        <f t="shared" si="13"/>
        <v>0</v>
      </c>
      <c r="O11" s="5" t="e">
        <f t="shared" si="13"/>
        <v>#DIV/0!</v>
      </c>
      <c r="T11" s="5">
        <f>T10/T7</f>
        <v>-1</v>
      </c>
      <c r="U11" s="5">
        <f t="shared" ref="U11" si="14">U10/U7</f>
        <v>-1</v>
      </c>
      <c r="V11" s="5">
        <f t="shared" ref="V11" si="15">V10/V7</f>
        <v>-1</v>
      </c>
      <c r="W11" s="5" t="e">
        <f t="shared" ref="W11" si="16">W10/W7</f>
        <v>#DIV/0!</v>
      </c>
      <c r="X11" s="5" t="e">
        <f t="shared" ref="X11" si="17">X10/X7</f>
        <v>#DIV/0!</v>
      </c>
      <c r="Y11" s="5">
        <f t="shared" ref="Y11" si="18">Y10/Y7</f>
        <v>0</v>
      </c>
      <c r="Z11" s="5" t="e">
        <f t="shared" ref="Z11" si="19">Z10/Z7</f>
        <v>#DIV/0!</v>
      </c>
      <c r="AE11" s="5">
        <f>AE10/AE7</f>
        <v>-1</v>
      </c>
      <c r="AF11" s="5">
        <f t="shared" ref="AF11" si="20">AF10/AF7</f>
        <v>-1</v>
      </c>
      <c r="AG11" s="5">
        <f t="shared" ref="AG11" si="21">AG10/AG7</f>
        <v>-1</v>
      </c>
      <c r="AH11" s="5" t="e">
        <f t="shared" ref="AH11" si="22">AH10/AH7</f>
        <v>#DIV/0!</v>
      </c>
      <c r="AI11" s="5" t="e">
        <f t="shared" ref="AI11" si="23">AI10/AI7</f>
        <v>#DIV/0!</v>
      </c>
      <c r="AJ11" s="5">
        <f t="shared" ref="AJ11" si="24">AJ10/AJ7</f>
        <v>0</v>
      </c>
      <c r="AK11" s="5" t="e">
        <f t="shared" ref="AK11" si="25">AK10/AK7</f>
        <v>#DIV/0!</v>
      </c>
    </row>
    <row r="13" spans="1:38" x14ac:dyDescent="0.3">
      <c r="G13" s="1" t="s">
        <v>26</v>
      </c>
      <c r="H13" s="2" t="s">
        <v>20</v>
      </c>
      <c r="I13" s="7">
        <f>-4*I15+I5</f>
        <v>-0.33333333333333348</v>
      </c>
      <c r="J13" s="7">
        <f t="shared" ref="J13:P13" si="26">-4*J15+J5</f>
        <v>-0.66666666666666652</v>
      </c>
      <c r="K13" s="7">
        <f t="shared" si="26"/>
        <v>0</v>
      </c>
      <c r="L13" s="7">
        <f t="shared" si="26"/>
        <v>1</v>
      </c>
      <c r="M13" s="7">
        <f t="shared" si="26"/>
        <v>0</v>
      </c>
      <c r="N13" s="7">
        <f t="shared" si="26"/>
        <v>0.66666666666666663</v>
      </c>
      <c r="O13" s="7">
        <f t="shared" si="26"/>
        <v>0</v>
      </c>
      <c r="P13" s="7">
        <f t="shared" si="26"/>
        <v>-33.333333333333343</v>
      </c>
      <c r="R13" s="1" t="s">
        <v>29</v>
      </c>
      <c r="S13" s="2" t="s">
        <v>20</v>
      </c>
      <c r="T13" s="6">
        <f>-2*T15+T5</f>
        <v>0.5</v>
      </c>
      <c r="U13" s="6">
        <f t="shared" ref="U13:AA13" si="27">-2*U15+U5</f>
        <v>0</v>
      </c>
      <c r="V13" s="6">
        <f t="shared" si="27"/>
        <v>1</v>
      </c>
      <c r="W13" s="6">
        <f t="shared" si="27"/>
        <v>1</v>
      </c>
      <c r="X13" s="6">
        <f t="shared" si="27"/>
        <v>0</v>
      </c>
      <c r="Y13" s="6">
        <f t="shared" si="27"/>
        <v>0.5</v>
      </c>
      <c r="Z13" s="6">
        <f t="shared" si="27"/>
        <v>0</v>
      </c>
      <c r="AA13" s="6">
        <f t="shared" si="27"/>
        <v>27.5</v>
      </c>
      <c r="AC13" s="1" t="s">
        <v>32</v>
      </c>
      <c r="AD13" s="2" t="s">
        <v>20</v>
      </c>
      <c r="AE13" s="6">
        <f>-3*AE15+AE5</f>
        <v>0</v>
      </c>
      <c r="AF13" s="6">
        <f t="shared" ref="AF13:AL13" si="28">-3*AF15+AF5</f>
        <v>-0.40000000000000036</v>
      </c>
      <c r="AG13" s="6">
        <f t="shared" si="28"/>
        <v>0.40000000000000036</v>
      </c>
      <c r="AH13" s="6">
        <f t="shared" si="28"/>
        <v>1</v>
      </c>
      <c r="AI13" s="6">
        <f t="shared" si="28"/>
        <v>0</v>
      </c>
      <c r="AJ13" s="6">
        <f t="shared" si="28"/>
        <v>0.60000000000000009</v>
      </c>
      <c r="AK13" s="6">
        <f t="shared" si="28"/>
        <v>0</v>
      </c>
      <c r="AL13" s="6">
        <f t="shared" si="28"/>
        <v>-9</v>
      </c>
    </row>
    <row r="14" spans="1:38" x14ac:dyDescent="0.3">
      <c r="H14" s="2" t="s">
        <v>21</v>
      </c>
      <c r="I14">
        <f>I6</f>
        <v>3</v>
      </c>
      <c r="J14">
        <f t="shared" ref="J14:P14" si="29">J6</f>
        <v>2</v>
      </c>
      <c r="K14">
        <f t="shared" si="29"/>
        <v>0</v>
      </c>
      <c r="L14">
        <f t="shared" si="29"/>
        <v>0</v>
      </c>
      <c r="M14">
        <f t="shared" si="29"/>
        <v>1</v>
      </c>
      <c r="N14">
        <f t="shared" si="29"/>
        <v>0</v>
      </c>
      <c r="O14">
        <f t="shared" si="29"/>
        <v>0</v>
      </c>
      <c r="P14">
        <f t="shared" si="29"/>
        <v>150</v>
      </c>
      <c r="R14" s="1" t="s">
        <v>30</v>
      </c>
      <c r="S14" s="2" t="s">
        <v>21</v>
      </c>
      <c r="T14" s="7">
        <f>-2*T15+T6</f>
        <v>0.5</v>
      </c>
      <c r="U14" s="7">
        <f t="shared" ref="U14:AA14" si="30">-2*U15+U6</f>
        <v>0</v>
      </c>
      <c r="V14" s="7">
        <f t="shared" si="30"/>
        <v>-3</v>
      </c>
      <c r="W14" s="7">
        <f t="shared" si="30"/>
        <v>0</v>
      </c>
      <c r="X14" s="7">
        <f t="shared" si="30"/>
        <v>1</v>
      </c>
      <c r="Y14" s="7">
        <f t="shared" si="30"/>
        <v>0.5</v>
      </c>
      <c r="Z14" s="7">
        <f t="shared" si="30"/>
        <v>0</v>
      </c>
      <c r="AA14" s="7">
        <f t="shared" si="30"/>
        <v>-32.5</v>
      </c>
      <c r="AC14" s="1" t="s">
        <v>33</v>
      </c>
      <c r="AD14" s="2" t="s">
        <v>21</v>
      </c>
      <c r="AE14" s="7">
        <f>-3*AE15+AE6</f>
        <v>0</v>
      </c>
      <c r="AF14" s="7">
        <f t="shared" ref="AF14:AL14" si="31">-3*AF15+AF6</f>
        <v>-0.40000000000000036</v>
      </c>
      <c r="AG14" s="7">
        <f t="shared" si="31"/>
        <v>-3.5999999999999996</v>
      </c>
      <c r="AH14" s="7">
        <f t="shared" si="31"/>
        <v>0</v>
      </c>
      <c r="AI14" s="7">
        <f t="shared" si="31"/>
        <v>1</v>
      </c>
      <c r="AJ14" s="7">
        <f t="shared" si="31"/>
        <v>0.60000000000000009</v>
      </c>
      <c r="AK14" s="7">
        <f t="shared" si="31"/>
        <v>0</v>
      </c>
      <c r="AL14" s="7">
        <f t="shared" si="31"/>
        <v>-69</v>
      </c>
    </row>
    <row r="15" spans="1:38" x14ac:dyDescent="0.3">
      <c r="H15" s="2" t="s">
        <v>19</v>
      </c>
      <c r="I15" s="6">
        <f>I7/-6</f>
        <v>0.83333333333333337</v>
      </c>
      <c r="J15" s="6">
        <f t="shared" ref="J15:P15" si="32">J7/-6</f>
        <v>0.66666666666666663</v>
      </c>
      <c r="K15" s="6">
        <f t="shared" si="32"/>
        <v>1</v>
      </c>
      <c r="L15" s="6">
        <f t="shared" si="32"/>
        <v>0</v>
      </c>
      <c r="M15" s="6">
        <f t="shared" si="32"/>
        <v>0</v>
      </c>
      <c r="N15" s="6">
        <f t="shared" si="32"/>
        <v>-0.16666666666666666</v>
      </c>
      <c r="O15" s="6">
        <f t="shared" si="32"/>
        <v>0</v>
      </c>
      <c r="P15" s="6">
        <f t="shared" si="32"/>
        <v>60.833333333333336</v>
      </c>
      <c r="S15" s="2" t="s">
        <v>18</v>
      </c>
      <c r="T15" s="6">
        <f>T7/-4</f>
        <v>1.25</v>
      </c>
      <c r="U15" s="6">
        <f t="shared" ref="U15:AA15" si="33">U7/-4</f>
        <v>1</v>
      </c>
      <c r="V15" s="6">
        <f t="shared" si="33"/>
        <v>1.5</v>
      </c>
      <c r="W15" s="6">
        <f t="shared" si="33"/>
        <v>0</v>
      </c>
      <c r="X15" s="6">
        <f t="shared" si="33"/>
        <v>0</v>
      </c>
      <c r="Y15" s="6">
        <f t="shared" si="33"/>
        <v>-0.25</v>
      </c>
      <c r="Z15" s="6">
        <f t="shared" si="33"/>
        <v>0</v>
      </c>
      <c r="AA15" s="6">
        <f t="shared" si="33"/>
        <v>91.25</v>
      </c>
      <c r="AD15" s="2" t="s">
        <v>17</v>
      </c>
      <c r="AE15" s="6">
        <f>AE7/-5</f>
        <v>1</v>
      </c>
      <c r="AF15" s="6">
        <f t="shared" ref="AF15:AL15" si="34">AF7/-5</f>
        <v>0.8</v>
      </c>
      <c r="AG15" s="6">
        <f t="shared" si="34"/>
        <v>1.2</v>
      </c>
      <c r="AH15" s="6">
        <f t="shared" si="34"/>
        <v>0</v>
      </c>
      <c r="AI15" s="6">
        <f t="shared" si="34"/>
        <v>0</v>
      </c>
      <c r="AJ15" s="6">
        <f t="shared" si="34"/>
        <v>-0.2</v>
      </c>
      <c r="AK15" s="6">
        <f t="shared" si="34"/>
        <v>0</v>
      </c>
      <c r="AL15" s="6">
        <f t="shared" si="34"/>
        <v>73</v>
      </c>
    </row>
    <row r="16" spans="1:38" x14ac:dyDescent="0.3">
      <c r="G16" s="1" t="s">
        <v>27</v>
      </c>
      <c r="H16" s="2" t="s">
        <v>23</v>
      </c>
      <c r="I16" s="6">
        <f>-6*I15+I8</f>
        <v>0</v>
      </c>
      <c r="J16" s="6">
        <f t="shared" ref="J16:P16" si="35">-6*J15+J8</f>
        <v>0</v>
      </c>
      <c r="K16" s="6">
        <f t="shared" si="35"/>
        <v>0</v>
      </c>
      <c r="L16" s="6">
        <f t="shared" si="35"/>
        <v>0</v>
      </c>
      <c r="M16" s="6">
        <f t="shared" si="35"/>
        <v>0</v>
      </c>
      <c r="N16" s="6">
        <f t="shared" si="35"/>
        <v>1</v>
      </c>
      <c r="O16" s="6">
        <f t="shared" si="35"/>
        <v>1</v>
      </c>
      <c r="P16" s="6">
        <f t="shared" si="35"/>
        <v>400</v>
      </c>
      <c r="R16" s="1" t="s">
        <v>31</v>
      </c>
      <c r="S16" s="2" t="s">
        <v>23</v>
      </c>
      <c r="T16" s="6">
        <f>-4*T15+T8</f>
        <v>0</v>
      </c>
      <c r="U16" s="6">
        <f t="shared" ref="U16:AA16" si="36">-4*U15+U8</f>
        <v>0</v>
      </c>
      <c r="V16" s="6">
        <f t="shared" si="36"/>
        <v>0</v>
      </c>
      <c r="W16" s="6">
        <f t="shared" si="36"/>
        <v>0</v>
      </c>
      <c r="X16" s="6">
        <f t="shared" si="36"/>
        <v>0</v>
      </c>
      <c r="Y16" s="6">
        <f t="shared" si="36"/>
        <v>1</v>
      </c>
      <c r="Z16" s="6">
        <f t="shared" si="36"/>
        <v>1</v>
      </c>
      <c r="AA16" s="6">
        <f t="shared" si="36"/>
        <v>400</v>
      </c>
      <c r="AC16" s="1" t="s">
        <v>34</v>
      </c>
      <c r="AD16" s="2" t="s">
        <v>23</v>
      </c>
      <c r="AE16" s="6">
        <f>-5*AE15+AE8</f>
        <v>0</v>
      </c>
      <c r="AF16" s="6">
        <f t="shared" ref="AF16:AL16" si="37">-5*AF15+AF8</f>
        <v>0</v>
      </c>
      <c r="AG16" s="6">
        <f t="shared" si="37"/>
        <v>0</v>
      </c>
      <c r="AH16" s="6">
        <f t="shared" si="37"/>
        <v>0</v>
      </c>
      <c r="AI16" s="6">
        <f t="shared" si="37"/>
        <v>0</v>
      </c>
      <c r="AJ16" s="6">
        <f t="shared" si="37"/>
        <v>1</v>
      </c>
      <c r="AK16" s="6">
        <f t="shared" si="37"/>
        <v>1</v>
      </c>
      <c r="AL16" s="6">
        <f t="shared" si="37"/>
        <v>400</v>
      </c>
    </row>
    <row r="17" spans="1:38" x14ac:dyDescent="0.3">
      <c r="H17" s="2" t="s">
        <v>24</v>
      </c>
      <c r="I17" s="6">
        <f>6*I15</f>
        <v>5</v>
      </c>
      <c r="J17" s="6">
        <f t="shared" ref="J17:P17" si="38">6*J15</f>
        <v>4</v>
      </c>
      <c r="K17" s="6">
        <f t="shared" si="38"/>
        <v>6</v>
      </c>
      <c r="L17" s="6">
        <f t="shared" si="38"/>
        <v>0</v>
      </c>
      <c r="M17" s="6">
        <f t="shared" si="38"/>
        <v>0</v>
      </c>
      <c r="N17" s="6">
        <f t="shared" si="38"/>
        <v>-1</v>
      </c>
      <c r="O17" s="6">
        <f t="shared" si="38"/>
        <v>0</v>
      </c>
      <c r="P17" s="6">
        <f t="shared" si="38"/>
        <v>365</v>
      </c>
      <c r="S17" s="2" t="s">
        <v>24</v>
      </c>
      <c r="T17" s="6">
        <f>4*T15</f>
        <v>5</v>
      </c>
      <c r="U17" s="6">
        <f t="shared" ref="U17:AA17" si="39">4*U15</f>
        <v>4</v>
      </c>
      <c r="V17" s="6">
        <f t="shared" si="39"/>
        <v>6</v>
      </c>
      <c r="W17" s="6">
        <f t="shared" si="39"/>
        <v>0</v>
      </c>
      <c r="X17" s="6">
        <f t="shared" si="39"/>
        <v>0</v>
      </c>
      <c r="Y17" s="6">
        <f t="shared" si="39"/>
        <v>-1</v>
      </c>
      <c r="Z17" s="6">
        <f t="shared" si="39"/>
        <v>0</v>
      </c>
      <c r="AA17" s="6">
        <f t="shared" si="39"/>
        <v>365</v>
      </c>
      <c r="AD17" s="2" t="s">
        <v>24</v>
      </c>
      <c r="AE17" s="6">
        <f>5*AE15</f>
        <v>5</v>
      </c>
      <c r="AF17" s="6">
        <f t="shared" ref="AF17:AL17" si="40">5*AF15</f>
        <v>4</v>
      </c>
      <c r="AG17" s="6">
        <f t="shared" si="40"/>
        <v>6</v>
      </c>
      <c r="AH17" s="6">
        <f t="shared" si="40"/>
        <v>0</v>
      </c>
      <c r="AI17" s="6">
        <f t="shared" si="40"/>
        <v>0</v>
      </c>
      <c r="AJ17" s="6">
        <f t="shared" si="40"/>
        <v>-1</v>
      </c>
      <c r="AK17" s="6">
        <f t="shared" si="40"/>
        <v>0</v>
      </c>
      <c r="AL17" s="6">
        <f t="shared" si="40"/>
        <v>365</v>
      </c>
    </row>
    <row r="18" spans="1:38" x14ac:dyDescent="0.3">
      <c r="H18" s="2" t="s">
        <v>25</v>
      </c>
      <c r="I18" s="6">
        <f>I3-I17</f>
        <v>0</v>
      </c>
      <c r="J18" s="6">
        <f t="shared" ref="J18:O18" si="41">J3-J17</f>
        <v>0</v>
      </c>
      <c r="K18" s="6">
        <f t="shared" si="41"/>
        <v>0</v>
      </c>
      <c r="L18" s="6">
        <f t="shared" si="41"/>
        <v>0</v>
      </c>
      <c r="M18" s="6">
        <f t="shared" si="41"/>
        <v>0</v>
      </c>
      <c r="N18" s="6">
        <f t="shared" si="41"/>
        <v>1</v>
      </c>
      <c r="O18" s="6">
        <f t="shared" si="41"/>
        <v>0</v>
      </c>
      <c r="S18" s="2" t="s">
        <v>25</v>
      </c>
      <c r="T18" s="6">
        <f>T3-T17</f>
        <v>0</v>
      </c>
      <c r="U18" s="6">
        <f t="shared" ref="U18:Z18" si="42">U3-U17</f>
        <v>0</v>
      </c>
      <c r="V18" s="6">
        <f t="shared" si="42"/>
        <v>0</v>
      </c>
      <c r="W18" s="6">
        <f t="shared" si="42"/>
        <v>0</v>
      </c>
      <c r="X18" s="6">
        <f t="shared" si="42"/>
        <v>0</v>
      </c>
      <c r="Y18" s="6">
        <f t="shared" si="42"/>
        <v>1</v>
      </c>
      <c r="Z18" s="6">
        <f t="shared" si="42"/>
        <v>0</v>
      </c>
      <c r="AA18" s="6"/>
      <c r="AD18" s="2" t="s">
        <v>25</v>
      </c>
      <c r="AE18" s="6">
        <f>AE3-AE17</f>
        <v>0</v>
      </c>
      <c r="AF18" s="6">
        <f t="shared" ref="AF18:AK18" si="43">AF3-AF17</f>
        <v>0</v>
      </c>
      <c r="AG18" s="6">
        <f t="shared" si="43"/>
        <v>0</v>
      </c>
      <c r="AH18" s="6">
        <f t="shared" si="43"/>
        <v>0</v>
      </c>
      <c r="AI18" s="6">
        <f t="shared" si="43"/>
        <v>0</v>
      </c>
      <c r="AJ18" s="6">
        <f t="shared" si="43"/>
        <v>1</v>
      </c>
      <c r="AK18" s="6">
        <f t="shared" si="43"/>
        <v>0</v>
      </c>
    </row>
    <row r="19" spans="1:38" x14ac:dyDescent="0.3">
      <c r="I19" s="6">
        <f>I18/I13</f>
        <v>0</v>
      </c>
      <c r="J19" s="6">
        <f t="shared" ref="J19:O19" si="44">J18/J13</f>
        <v>0</v>
      </c>
      <c r="K19" s="6" t="e">
        <f t="shared" si="44"/>
        <v>#DIV/0!</v>
      </c>
      <c r="L19" s="6">
        <f t="shared" si="44"/>
        <v>0</v>
      </c>
      <c r="M19" s="6" t="e">
        <f t="shared" si="44"/>
        <v>#DIV/0!</v>
      </c>
      <c r="N19" s="6">
        <f t="shared" si="44"/>
        <v>1.5</v>
      </c>
      <c r="O19" s="6" t="e">
        <f t="shared" si="44"/>
        <v>#DIV/0!</v>
      </c>
      <c r="T19" s="6">
        <f>T18/T14</f>
        <v>0</v>
      </c>
      <c r="U19" s="6" t="e">
        <f t="shared" ref="U19:Z19" si="45">U18/U14</f>
        <v>#DIV/0!</v>
      </c>
      <c r="V19" s="6">
        <f t="shared" si="45"/>
        <v>0</v>
      </c>
      <c r="W19" s="6" t="e">
        <f t="shared" si="45"/>
        <v>#DIV/0!</v>
      </c>
      <c r="X19" s="6">
        <f t="shared" si="45"/>
        <v>0</v>
      </c>
      <c r="Y19" s="6">
        <f t="shared" si="45"/>
        <v>2</v>
      </c>
      <c r="Z19" s="6" t="e">
        <f t="shared" si="45"/>
        <v>#DIV/0!</v>
      </c>
      <c r="AA19" s="6"/>
      <c r="AE19" t="e">
        <f>AE18/AE14</f>
        <v>#DIV/0!</v>
      </c>
      <c r="AF19">
        <f t="shared" ref="AF19:AK19" si="46">AF18/AF14</f>
        <v>0</v>
      </c>
      <c r="AG19">
        <f t="shared" si="46"/>
        <v>0</v>
      </c>
      <c r="AH19" t="e">
        <f t="shared" si="46"/>
        <v>#DIV/0!</v>
      </c>
      <c r="AI19">
        <f t="shared" si="46"/>
        <v>0</v>
      </c>
      <c r="AJ19">
        <f t="shared" si="46"/>
        <v>1.6666666666666665</v>
      </c>
      <c r="AK19" t="e">
        <f t="shared" si="46"/>
        <v>#DIV/0!</v>
      </c>
    </row>
    <row r="21" spans="1:38" x14ac:dyDescent="0.3">
      <c r="H21" s="8" t="s">
        <v>28</v>
      </c>
      <c r="S21" s="9" t="s">
        <v>28</v>
      </c>
      <c r="AD21" s="9" t="s">
        <v>28</v>
      </c>
    </row>
    <row r="27" spans="1:38" x14ac:dyDescent="0.3">
      <c r="A27" t="s">
        <v>4</v>
      </c>
      <c r="D27" t="s">
        <v>43</v>
      </c>
      <c r="H27" t="s">
        <v>16</v>
      </c>
      <c r="I27">
        <v>5</v>
      </c>
      <c r="J27">
        <v>4</v>
      </c>
      <c r="K27">
        <v>6</v>
      </c>
      <c r="L27">
        <v>0</v>
      </c>
      <c r="M27">
        <v>0</v>
      </c>
    </row>
    <row r="28" spans="1:38" x14ac:dyDescent="0.3">
      <c r="A28" t="s">
        <v>5</v>
      </c>
      <c r="I28" s="10" t="s">
        <v>17</v>
      </c>
      <c r="J28" s="10" t="s">
        <v>18</v>
      </c>
      <c r="K28" s="10" t="s">
        <v>19</v>
      </c>
      <c r="L28" s="10" t="s">
        <v>20</v>
      </c>
      <c r="M28" s="10" t="s">
        <v>21</v>
      </c>
    </row>
    <row r="29" spans="1:38" x14ac:dyDescent="0.3">
      <c r="A29" t="s">
        <v>7</v>
      </c>
      <c r="D29" t="s">
        <v>12</v>
      </c>
      <c r="H29" t="s">
        <v>20</v>
      </c>
      <c r="I29" s="4">
        <v>3</v>
      </c>
      <c r="J29" s="4">
        <v>2</v>
      </c>
      <c r="K29" s="4">
        <v>4</v>
      </c>
      <c r="L29" s="4">
        <v>1</v>
      </c>
      <c r="M29" s="4">
        <v>0</v>
      </c>
      <c r="N29" s="4">
        <v>210</v>
      </c>
      <c r="O29" s="11">
        <f>N29/K29</f>
        <v>52.5</v>
      </c>
    </row>
    <row r="30" spans="1:38" x14ac:dyDescent="0.3">
      <c r="A30" t="s">
        <v>8</v>
      </c>
      <c r="D30" t="s">
        <v>13</v>
      </c>
      <c r="H30" t="s">
        <v>21</v>
      </c>
      <c r="I30">
        <v>3</v>
      </c>
      <c r="J30">
        <v>2</v>
      </c>
      <c r="K30" s="4">
        <v>0</v>
      </c>
      <c r="L30">
        <v>0</v>
      </c>
      <c r="M30">
        <v>1</v>
      </c>
      <c r="N30">
        <v>150</v>
      </c>
      <c r="O30" s="11" t="e">
        <f>N30/K30</f>
        <v>#DIV/0!</v>
      </c>
    </row>
    <row r="31" spans="1:38" x14ac:dyDescent="0.3">
      <c r="D31" s="1"/>
      <c r="H31" t="s">
        <v>24</v>
      </c>
      <c r="I31">
        <v>0</v>
      </c>
      <c r="J31">
        <v>0</v>
      </c>
      <c r="K31" s="4">
        <v>0</v>
      </c>
      <c r="L31">
        <v>0</v>
      </c>
      <c r="M31">
        <v>0</v>
      </c>
      <c r="N31">
        <v>0</v>
      </c>
    </row>
    <row r="32" spans="1:38" x14ac:dyDescent="0.3">
      <c r="H32" t="s">
        <v>25</v>
      </c>
      <c r="I32">
        <v>5</v>
      </c>
      <c r="J32">
        <v>4</v>
      </c>
      <c r="K32" s="4">
        <v>6</v>
      </c>
      <c r="L32">
        <v>0</v>
      </c>
      <c r="M32">
        <v>0</v>
      </c>
    </row>
    <row r="33" spans="1:15" x14ac:dyDescent="0.3">
      <c r="A33" t="s">
        <v>6</v>
      </c>
    </row>
    <row r="34" spans="1:15" x14ac:dyDescent="0.3">
      <c r="H34" t="s">
        <v>19</v>
      </c>
      <c r="I34" s="6">
        <f>I29/4</f>
        <v>0.75</v>
      </c>
      <c r="J34" s="7">
        <f t="shared" ref="J34:N34" si="47">J29/4</f>
        <v>0.5</v>
      </c>
      <c r="K34" s="6">
        <f t="shared" si="47"/>
        <v>1</v>
      </c>
      <c r="L34" s="6">
        <f t="shared" si="47"/>
        <v>0.25</v>
      </c>
      <c r="M34" s="6">
        <f t="shared" si="47"/>
        <v>0</v>
      </c>
      <c r="N34" s="6">
        <f t="shared" si="47"/>
        <v>52.5</v>
      </c>
      <c r="O34" s="12">
        <f>N34/J34</f>
        <v>105</v>
      </c>
    </row>
    <row r="35" spans="1:15" x14ac:dyDescent="0.3">
      <c r="H35" t="s">
        <v>21</v>
      </c>
      <c r="I35" s="7">
        <f>I30</f>
        <v>3</v>
      </c>
      <c r="J35" s="7">
        <f t="shared" ref="J35:N35" si="48">J30</f>
        <v>2</v>
      </c>
      <c r="K35" s="7">
        <f t="shared" si="48"/>
        <v>0</v>
      </c>
      <c r="L35" s="7">
        <f t="shared" si="48"/>
        <v>0</v>
      </c>
      <c r="M35" s="7">
        <f t="shared" si="48"/>
        <v>1</v>
      </c>
      <c r="N35" s="7">
        <f t="shared" si="48"/>
        <v>150</v>
      </c>
      <c r="O35" s="12">
        <f>N35/J35</f>
        <v>75</v>
      </c>
    </row>
    <row r="36" spans="1:15" x14ac:dyDescent="0.3">
      <c r="H36" t="s">
        <v>24</v>
      </c>
      <c r="I36" s="6">
        <f>6*I34</f>
        <v>4.5</v>
      </c>
      <c r="J36" s="7">
        <f t="shared" ref="J36:N36" si="49">6*J34</f>
        <v>3</v>
      </c>
      <c r="K36" s="6">
        <f t="shared" si="49"/>
        <v>6</v>
      </c>
      <c r="L36" s="6">
        <f t="shared" si="49"/>
        <v>1.5</v>
      </c>
      <c r="M36" s="6">
        <f t="shared" si="49"/>
        <v>0</v>
      </c>
      <c r="N36" s="6">
        <f t="shared" si="49"/>
        <v>315</v>
      </c>
    </row>
    <row r="37" spans="1:15" x14ac:dyDescent="0.3">
      <c r="H37" t="s">
        <v>25</v>
      </c>
      <c r="I37" s="6">
        <f>I27-I36</f>
        <v>0.5</v>
      </c>
      <c r="J37" s="7">
        <f t="shared" ref="J37:M37" si="50">J27-J36</f>
        <v>1</v>
      </c>
      <c r="K37" s="6">
        <f t="shared" si="50"/>
        <v>0</v>
      </c>
      <c r="L37" s="6">
        <f t="shared" si="50"/>
        <v>-1.5</v>
      </c>
      <c r="M37" s="6">
        <f t="shared" si="50"/>
        <v>0</v>
      </c>
      <c r="N37" s="6"/>
    </row>
    <row r="39" spans="1:15" x14ac:dyDescent="0.3">
      <c r="G39" s="1" t="s">
        <v>35</v>
      </c>
      <c r="H39" t="s">
        <v>19</v>
      </c>
      <c r="I39" s="6">
        <f>-1/2*I40+I34</f>
        <v>0</v>
      </c>
      <c r="J39" s="6">
        <f t="shared" ref="J39:N39" si="51">-1/2*J40+J34</f>
        <v>0</v>
      </c>
      <c r="K39" s="6">
        <f t="shared" si="51"/>
        <v>1</v>
      </c>
      <c r="L39" s="6">
        <f t="shared" si="51"/>
        <v>0.25</v>
      </c>
      <c r="M39" s="6">
        <f t="shared" si="51"/>
        <v>-0.25</v>
      </c>
      <c r="N39" s="6">
        <f t="shared" si="51"/>
        <v>15</v>
      </c>
    </row>
    <row r="40" spans="1:15" x14ac:dyDescent="0.3">
      <c r="H40" t="s">
        <v>18</v>
      </c>
      <c r="I40" s="6">
        <f>I35/2</f>
        <v>1.5</v>
      </c>
      <c r="J40" s="6">
        <f t="shared" ref="J40:N40" si="52">J35/2</f>
        <v>1</v>
      </c>
      <c r="K40" s="6">
        <f t="shared" si="52"/>
        <v>0</v>
      </c>
      <c r="L40" s="6">
        <f t="shared" si="52"/>
        <v>0</v>
      </c>
      <c r="M40" s="6">
        <f t="shared" si="52"/>
        <v>0.5</v>
      </c>
      <c r="N40" s="6">
        <f t="shared" si="52"/>
        <v>75</v>
      </c>
    </row>
    <row r="41" spans="1:15" x14ac:dyDescent="0.3">
      <c r="H41" t="s">
        <v>24</v>
      </c>
      <c r="I41" s="6">
        <f>6*I39+4*I40</f>
        <v>6</v>
      </c>
      <c r="J41" s="6">
        <f t="shared" ref="J41:N41" si="53">6*J39+4*J40</f>
        <v>4</v>
      </c>
      <c r="K41" s="6">
        <f t="shared" si="53"/>
        <v>6</v>
      </c>
      <c r="L41" s="6">
        <f t="shared" si="53"/>
        <v>1.5</v>
      </c>
      <c r="M41" s="6">
        <f t="shared" si="53"/>
        <v>0.5</v>
      </c>
      <c r="N41" s="6">
        <f t="shared" si="53"/>
        <v>390</v>
      </c>
    </row>
    <row r="42" spans="1:15" x14ac:dyDescent="0.3">
      <c r="H42" t="s">
        <v>25</v>
      </c>
      <c r="I42" s="6">
        <f>I27-I41</f>
        <v>-1</v>
      </c>
      <c r="J42" s="6">
        <f t="shared" ref="J42:M42" si="54">J27-J41</f>
        <v>0</v>
      </c>
      <c r="K42" s="6">
        <f t="shared" si="54"/>
        <v>0</v>
      </c>
      <c r="L42" s="6">
        <f t="shared" si="54"/>
        <v>-1.5</v>
      </c>
      <c r="M42" s="6">
        <f t="shared" si="54"/>
        <v>-0.5</v>
      </c>
    </row>
    <row r="44" spans="1:15" x14ac:dyDescent="0.3">
      <c r="H44" s="13" t="s">
        <v>36</v>
      </c>
      <c r="I44" s="13">
        <v>0</v>
      </c>
      <c r="K44" t="s">
        <v>42</v>
      </c>
    </row>
    <row r="45" spans="1:15" x14ac:dyDescent="0.3">
      <c r="H45" s="13" t="s">
        <v>37</v>
      </c>
      <c r="I45" s="13">
        <v>75</v>
      </c>
      <c r="K45" t="str">
        <f>D29</f>
        <v>3a+2b+4c+h1=210</v>
      </c>
      <c r="M45">
        <f>3*I44+2*I45+4*I46+I47</f>
        <v>210</v>
      </c>
    </row>
    <row r="46" spans="1:15" x14ac:dyDescent="0.3">
      <c r="H46" s="13" t="s">
        <v>38</v>
      </c>
      <c r="I46" s="13">
        <v>15</v>
      </c>
      <c r="K46" t="str">
        <f>D30</f>
        <v>3a+2b+h2=150</v>
      </c>
      <c r="M46">
        <f>3*I44+2*I45+I48</f>
        <v>150</v>
      </c>
    </row>
    <row r="47" spans="1:15" x14ac:dyDescent="0.3">
      <c r="H47" s="13" t="s">
        <v>39</v>
      </c>
      <c r="I47" s="13">
        <v>0</v>
      </c>
    </row>
    <row r="48" spans="1:15" x14ac:dyDescent="0.3">
      <c r="H48" s="13" t="s">
        <v>40</v>
      </c>
      <c r="I48" s="13">
        <v>0</v>
      </c>
      <c r="K48" t="str">
        <f>D27</f>
        <v>Máx Z=5a+4b+6c+235+0h1+0h2</v>
      </c>
      <c r="M48">
        <f>5*I44+4*I45+6*I46+235</f>
        <v>625</v>
      </c>
    </row>
    <row r="49" spans="8:9" x14ac:dyDescent="0.3">
      <c r="H49" s="13" t="s">
        <v>41</v>
      </c>
      <c r="I49" s="13">
        <v>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D6AE-3401-456F-85D6-C30D9C2B400C}">
  <dimension ref="A1:R33"/>
  <sheetViews>
    <sheetView tabSelected="1" topLeftCell="L7" workbookViewId="0">
      <selection activeCell="R35" sqref="R35"/>
    </sheetView>
  </sheetViews>
  <sheetFormatPr baseColWidth="10" defaultRowHeight="14.4" x14ac:dyDescent="0.3"/>
  <cols>
    <col min="8" max="8" width="12" bestFit="1" customWidth="1"/>
    <col min="9" max="11" width="11.6640625" bestFit="1" customWidth="1"/>
    <col min="12" max="12" width="13" bestFit="1" customWidth="1"/>
    <col min="13" max="13" width="12" bestFit="1" customWidth="1"/>
    <col min="14" max="14" width="12.6640625" bestFit="1" customWidth="1"/>
  </cols>
  <sheetData>
    <row r="1" spans="1:18" x14ac:dyDescent="0.3">
      <c r="A1" t="s">
        <v>44</v>
      </c>
      <c r="G1" t="s">
        <v>16</v>
      </c>
      <c r="H1">
        <v>120</v>
      </c>
      <c r="I1">
        <v>200</v>
      </c>
      <c r="J1">
        <v>0</v>
      </c>
      <c r="K1">
        <v>0</v>
      </c>
      <c r="L1">
        <v>0</v>
      </c>
      <c r="M1">
        <v>0</v>
      </c>
      <c r="Q1" t="s">
        <v>185</v>
      </c>
    </row>
    <row r="2" spans="1:18" x14ac:dyDescent="0.3">
      <c r="A2" t="s">
        <v>45</v>
      </c>
      <c r="H2" s="10" t="s">
        <v>111</v>
      </c>
      <c r="I2" s="10" t="s">
        <v>112</v>
      </c>
      <c r="J2" s="10" t="s">
        <v>20</v>
      </c>
      <c r="K2" s="10" t="s">
        <v>21</v>
      </c>
      <c r="L2" s="10" t="s">
        <v>22</v>
      </c>
      <c r="M2" s="10" t="s">
        <v>23</v>
      </c>
      <c r="Q2" t="s">
        <v>186</v>
      </c>
    </row>
    <row r="3" spans="1:18" x14ac:dyDescent="0.3">
      <c r="A3" t="s">
        <v>46</v>
      </c>
      <c r="G3" t="s">
        <v>20</v>
      </c>
      <c r="H3" s="4">
        <v>600</v>
      </c>
      <c r="I3">
        <v>240</v>
      </c>
      <c r="J3">
        <v>1</v>
      </c>
      <c r="K3">
        <v>0</v>
      </c>
      <c r="L3">
        <v>0</v>
      </c>
      <c r="M3">
        <v>0</v>
      </c>
      <c r="N3">
        <v>30000</v>
      </c>
      <c r="Q3" t="s">
        <v>187</v>
      </c>
    </row>
    <row r="4" spans="1:18" x14ac:dyDescent="0.3">
      <c r="A4" t="s">
        <v>47</v>
      </c>
      <c r="C4" t="s">
        <v>110</v>
      </c>
      <c r="G4" t="s">
        <v>21</v>
      </c>
      <c r="H4" s="4">
        <v>-1</v>
      </c>
      <c r="I4">
        <v>0</v>
      </c>
      <c r="J4">
        <v>0</v>
      </c>
      <c r="K4">
        <v>1</v>
      </c>
      <c r="L4">
        <v>0</v>
      </c>
      <c r="M4">
        <v>0</v>
      </c>
      <c r="N4">
        <v>-23</v>
      </c>
      <c r="Q4" t="s">
        <v>188</v>
      </c>
    </row>
    <row r="5" spans="1:18" x14ac:dyDescent="0.3">
      <c r="A5" t="s">
        <v>5</v>
      </c>
      <c r="G5" t="s">
        <v>22</v>
      </c>
      <c r="H5" s="4">
        <v>0</v>
      </c>
      <c r="I5">
        <v>-1</v>
      </c>
      <c r="J5">
        <v>0</v>
      </c>
      <c r="K5">
        <v>0</v>
      </c>
      <c r="L5">
        <v>1</v>
      </c>
      <c r="M5">
        <v>0</v>
      </c>
      <c r="N5">
        <v>-20</v>
      </c>
      <c r="Q5" t="s">
        <v>189</v>
      </c>
      <c r="R5" s="6">
        <f>-120/200</f>
        <v>-0.6</v>
      </c>
    </row>
    <row r="6" spans="1:18" x14ac:dyDescent="0.3">
      <c r="A6" t="s">
        <v>48</v>
      </c>
      <c r="C6" t="s">
        <v>107</v>
      </c>
      <c r="G6" t="s">
        <v>23</v>
      </c>
      <c r="H6" s="4">
        <v>-1</v>
      </c>
      <c r="I6" s="4">
        <v>-1</v>
      </c>
      <c r="J6" s="4">
        <v>0</v>
      </c>
      <c r="K6" s="4">
        <v>0</v>
      </c>
      <c r="L6" s="4">
        <v>0</v>
      </c>
      <c r="M6" s="4">
        <v>1</v>
      </c>
      <c r="N6" s="4">
        <v>-65</v>
      </c>
    </row>
    <row r="7" spans="1:18" x14ac:dyDescent="0.3">
      <c r="A7" t="s">
        <v>49</v>
      </c>
      <c r="C7" s="1" t="s">
        <v>108</v>
      </c>
      <c r="G7" t="s">
        <v>24</v>
      </c>
      <c r="H7" s="4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8" x14ac:dyDescent="0.3">
      <c r="A8" t="s">
        <v>50</v>
      </c>
      <c r="C8" s="1" t="s">
        <v>113</v>
      </c>
      <c r="G8" t="s">
        <v>25</v>
      </c>
      <c r="H8" s="4">
        <f>H1</f>
        <v>120</v>
      </c>
      <c r="I8">
        <f t="shared" ref="I8:M8" si="0">I1</f>
        <v>200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</row>
    <row r="9" spans="1:18" x14ac:dyDescent="0.3">
      <c r="A9" t="s">
        <v>51</v>
      </c>
      <c r="C9" s="1" t="s">
        <v>109</v>
      </c>
      <c r="H9" s="5">
        <f>H8/H6</f>
        <v>-120</v>
      </c>
      <c r="I9" s="5">
        <f t="shared" ref="I9:M9" si="1">I8/I6</f>
        <v>-200</v>
      </c>
      <c r="J9" s="5" t="e">
        <f t="shared" si="1"/>
        <v>#DIV/0!</v>
      </c>
      <c r="K9" s="5" t="e">
        <f t="shared" si="1"/>
        <v>#DIV/0!</v>
      </c>
      <c r="L9" s="5" t="e">
        <f t="shared" si="1"/>
        <v>#DIV/0!</v>
      </c>
      <c r="M9">
        <f t="shared" si="1"/>
        <v>0</v>
      </c>
    </row>
    <row r="10" spans="1:18" x14ac:dyDescent="0.3">
      <c r="A10" t="s">
        <v>52</v>
      </c>
    </row>
    <row r="11" spans="1:18" x14ac:dyDescent="0.3">
      <c r="F11" s="1" t="s">
        <v>114</v>
      </c>
      <c r="G11" t="s">
        <v>20</v>
      </c>
      <c r="H11" s="7">
        <f>-600*H14+H3</f>
        <v>0</v>
      </c>
      <c r="I11" s="7">
        <f t="shared" ref="I11:N11" si="2">-600*I14+I3</f>
        <v>-360</v>
      </c>
      <c r="J11" s="7">
        <f t="shared" si="2"/>
        <v>1</v>
      </c>
      <c r="K11" s="7">
        <f t="shared" si="2"/>
        <v>0</v>
      </c>
      <c r="L11" s="7">
        <f t="shared" si="2"/>
        <v>0</v>
      </c>
      <c r="M11" s="7">
        <f t="shared" si="2"/>
        <v>600</v>
      </c>
      <c r="N11" s="7">
        <f t="shared" si="2"/>
        <v>-9000</v>
      </c>
    </row>
    <row r="12" spans="1:18" x14ac:dyDescent="0.3">
      <c r="F12" t="s">
        <v>115</v>
      </c>
      <c r="G12" t="s">
        <v>21</v>
      </c>
      <c r="H12" s="6">
        <f>H14+H4</f>
        <v>0</v>
      </c>
      <c r="I12" s="7">
        <f t="shared" ref="I12:N12" si="3">I14+I4</f>
        <v>1</v>
      </c>
      <c r="J12" s="6">
        <f t="shared" si="3"/>
        <v>0</v>
      </c>
      <c r="K12" s="6">
        <f t="shared" si="3"/>
        <v>1</v>
      </c>
      <c r="L12" s="6">
        <f t="shared" si="3"/>
        <v>0</v>
      </c>
      <c r="M12" s="6">
        <f t="shared" si="3"/>
        <v>-1</v>
      </c>
      <c r="N12" s="6">
        <f t="shared" si="3"/>
        <v>42</v>
      </c>
    </row>
    <row r="13" spans="1:18" x14ac:dyDescent="0.3">
      <c r="G13" t="s">
        <v>22</v>
      </c>
      <c r="H13" s="6">
        <f>H5</f>
        <v>0</v>
      </c>
      <c r="I13" s="7">
        <f t="shared" ref="I13:N13" si="4">I5</f>
        <v>-1</v>
      </c>
      <c r="J13" s="6">
        <f t="shared" si="4"/>
        <v>0</v>
      </c>
      <c r="K13" s="6">
        <f t="shared" si="4"/>
        <v>0</v>
      </c>
      <c r="L13" s="6">
        <f t="shared" si="4"/>
        <v>1</v>
      </c>
      <c r="M13" s="6">
        <f t="shared" si="4"/>
        <v>0</v>
      </c>
      <c r="N13" s="6">
        <f t="shared" si="4"/>
        <v>-20</v>
      </c>
    </row>
    <row r="14" spans="1:18" x14ac:dyDescent="0.3">
      <c r="G14" t="s">
        <v>111</v>
      </c>
      <c r="H14" s="6">
        <f>H6/-1</f>
        <v>1</v>
      </c>
      <c r="I14" s="7">
        <f t="shared" ref="I14:O14" si="5">I6/-1</f>
        <v>1</v>
      </c>
      <c r="J14" s="6">
        <f t="shared" si="5"/>
        <v>0</v>
      </c>
      <c r="K14" s="6">
        <f t="shared" si="5"/>
        <v>0</v>
      </c>
      <c r="L14" s="6">
        <f t="shared" si="5"/>
        <v>0</v>
      </c>
      <c r="M14" s="6">
        <f t="shared" si="5"/>
        <v>-1</v>
      </c>
      <c r="N14" s="6">
        <f t="shared" si="5"/>
        <v>65</v>
      </c>
    </row>
    <row r="15" spans="1:18" x14ac:dyDescent="0.3">
      <c r="G15" t="s">
        <v>24</v>
      </c>
      <c r="H15" s="6">
        <f>120*H14</f>
        <v>120</v>
      </c>
      <c r="I15" s="7">
        <f t="shared" ref="I15:N15" si="6">120*I14</f>
        <v>120</v>
      </c>
      <c r="J15" s="6">
        <f t="shared" si="6"/>
        <v>0</v>
      </c>
      <c r="K15" s="6">
        <f t="shared" si="6"/>
        <v>0</v>
      </c>
      <c r="L15" s="6">
        <f t="shared" si="6"/>
        <v>0</v>
      </c>
      <c r="M15" s="6">
        <f t="shared" si="6"/>
        <v>-120</v>
      </c>
      <c r="N15" s="6">
        <f t="shared" si="6"/>
        <v>7800</v>
      </c>
    </row>
    <row r="16" spans="1:18" x14ac:dyDescent="0.3">
      <c r="G16" t="s">
        <v>25</v>
      </c>
      <c r="H16" s="6">
        <f>H1-H15</f>
        <v>0</v>
      </c>
      <c r="I16" s="7">
        <f t="shared" ref="I16:M16" si="7">I1-I15</f>
        <v>80</v>
      </c>
      <c r="J16" s="6">
        <f t="shared" si="7"/>
        <v>0</v>
      </c>
      <c r="K16" s="6">
        <f t="shared" si="7"/>
        <v>0</v>
      </c>
      <c r="L16" s="6">
        <f t="shared" si="7"/>
        <v>0</v>
      </c>
      <c r="M16" s="6">
        <f t="shared" si="7"/>
        <v>120</v>
      </c>
      <c r="N16" s="6"/>
    </row>
    <row r="17" spans="6:14" x14ac:dyDescent="0.3">
      <c r="H17" s="17" t="e">
        <f>H16/H11</f>
        <v>#DIV/0!</v>
      </c>
      <c r="I17" s="17">
        <f t="shared" ref="I17:M17" si="8">I16/I11</f>
        <v>-0.22222222222222221</v>
      </c>
      <c r="J17" s="17">
        <f t="shared" si="8"/>
        <v>0</v>
      </c>
      <c r="K17" s="17" t="e">
        <f t="shared" si="8"/>
        <v>#DIV/0!</v>
      </c>
      <c r="L17" s="17" t="e">
        <f t="shared" si="8"/>
        <v>#DIV/0!</v>
      </c>
      <c r="M17" s="17">
        <f t="shared" si="8"/>
        <v>0.2</v>
      </c>
      <c r="N17" s="6"/>
    </row>
    <row r="19" spans="6:14" x14ac:dyDescent="0.3">
      <c r="G19" t="s">
        <v>112</v>
      </c>
      <c r="H19" s="6">
        <f>H11/-360</f>
        <v>0</v>
      </c>
      <c r="I19" s="6">
        <f t="shared" ref="I19:N19" si="9">I11/-360</f>
        <v>1</v>
      </c>
      <c r="J19" s="6">
        <f t="shared" si="9"/>
        <v>-2.7777777777777779E-3</v>
      </c>
      <c r="K19" s="6">
        <f t="shared" si="9"/>
        <v>0</v>
      </c>
      <c r="L19" s="6">
        <f t="shared" si="9"/>
        <v>0</v>
      </c>
      <c r="M19" s="6">
        <f t="shared" si="9"/>
        <v>-1.6666666666666667</v>
      </c>
      <c r="N19" s="6">
        <f t="shared" si="9"/>
        <v>25</v>
      </c>
    </row>
    <row r="20" spans="6:14" x14ac:dyDescent="0.3">
      <c r="F20" s="1" t="s">
        <v>116</v>
      </c>
      <c r="G20" t="s">
        <v>21</v>
      </c>
      <c r="H20" s="6">
        <f>-H19+H12</f>
        <v>0</v>
      </c>
      <c r="I20" s="6">
        <f t="shared" ref="I20:N20" si="10">-I19+I12</f>
        <v>0</v>
      </c>
      <c r="J20" s="6">
        <f t="shared" si="10"/>
        <v>2.7777777777777779E-3</v>
      </c>
      <c r="K20" s="6">
        <f t="shared" si="10"/>
        <v>1</v>
      </c>
      <c r="L20" s="6">
        <f t="shared" si="10"/>
        <v>0</v>
      </c>
      <c r="M20" s="6">
        <f t="shared" si="10"/>
        <v>0.66666666666666674</v>
      </c>
      <c r="N20" s="6">
        <f t="shared" si="10"/>
        <v>17</v>
      </c>
    </row>
    <row r="21" spans="6:14" x14ac:dyDescent="0.3">
      <c r="F21" t="s">
        <v>118</v>
      </c>
      <c r="G21" t="s">
        <v>22</v>
      </c>
      <c r="H21" s="6">
        <f>H19+H13</f>
        <v>0</v>
      </c>
      <c r="I21" s="6">
        <f t="shared" ref="I21:N21" si="11">I19+I13</f>
        <v>0</v>
      </c>
      <c r="J21" s="6">
        <f t="shared" si="11"/>
        <v>-2.7777777777777779E-3</v>
      </c>
      <c r="K21" s="6">
        <f t="shared" si="11"/>
        <v>0</v>
      </c>
      <c r="L21" s="6">
        <f t="shared" si="11"/>
        <v>1</v>
      </c>
      <c r="M21" s="6">
        <f t="shared" si="11"/>
        <v>-1.6666666666666667</v>
      </c>
      <c r="N21" s="6">
        <f t="shared" si="11"/>
        <v>5</v>
      </c>
    </row>
    <row r="22" spans="6:14" x14ac:dyDescent="0.3">
      <c r="F22" s="1" t="s">
        <v>117</v>
      </c>
      <c r="G22" t="s">
        <v>111</v>
      </c>
      <c r="H22" s="6">
        <f>-H19+H14</f>
        <v>1</v>
      </c>
      <c r="I22" s="6">
        <f t="shared" ref="I22:N22" si="12">-I19+I14</f>
        <v>0</v>
      </c>
      <c r="J22" s="6">
        <f t="shared" si="12"/>
        <v>2.7777777777777779E-3</v>
      </c>
      <c r="K22" s="6">
        <f t="shared" si="12"/>
        <v>0</v>
      </c>
      <c r="L22" s="6">
        <f t="shared" si="12"/>
        <v>0</v>
      </c>
      <c r="M22" s="6">
        <f t="shared" si="12"/>
        <v>0.66666666666666674</v>
      </c>
      <c r="N22" s="6">
        <f t="shared" si="12"/>
        <v>40</v>
      </c>
    </row>
    <row r="23" spans="6:14" x14ac:dyDescent="0.3">
      <c r="G23" t="s">
        <v>24</v>
      </c>
      <c r="H23" s="6">
        <f>120*H22+200*H19</f>
        <v>120</v>
      </c>
      <c r="I23" s="6">
        <f t="shared" ref="I23:N23" si="13">120*I22+200*I19</f>
        <v>200</v>
      </c>
      <c r="J23" s="6">
        <f t="shared" si="13"/>
        <v>-0.22222222222222221</v>
      </c>
      <c r="K23" s="6">
        <f t="shared" si="13"/>
        <v>0</v>
      </c>
      <c r="L23" s="6">
        <f t="shared" si="13"/>
        <v>0</v>
      </c>
      <c r="M23" s="6">
        <f t="shared" si="13"/>
        <v>-253.33333333333337</v>
      </c>
      <c r="N23" s="6">
        <f t="shared" si="13"/>
        <v>9800</v>
      </c>
    </row>
    <row r="24" spans="6:14" x14ac:dyDescent="0.3">
      <c r="G24" t="s">
        <v>25</v>
      </c>
      <c r="H24" s="6">
        <f>H1-H23</f>
        <v>0</v>
      </c>
      <c r="I24" s="6">
        <f t="shared" ref="I24:M24" si="14">I1-I23</f>
        <v>0</v>
      </c>
      <c r="J24" s="6">
        <f t="shared" si="14"/>
        <v>0.22222222222222221</v>
      </c>
      <c r="K24" s="6">
        <f t="shared" si="14"/>
        <v>0</v>
      </c>
      <c r="L24" s="6">
        <f t="shared" si="14"/>
        <v>0</v>
      </c>
      <c r="M24" s="6">
        <f t="shared" si="14"/>
        <v>253.33333333333337</v>
      </c>
    </row>
    <row r="26" spans="6:14" x14ac:dyDescent="0.3">
      <c r="G26" s="18" t="s">
        <v>119</v>
      </c>
      <c r="H26" s="18">
        <f>N22</f>
        <v>40</v>
      </c>
      <c r="J26" t="s">
        <v>42</v>
      </c>
    </row>
    <row r="27" spans="6:14" x14ac:dyDescent="0.3">
      <c r="G27" s="18" t="s">
        <v>120</v>
      </c>
      <c r="H27" s="18">
        <f>N19</f>
        <v>25</v>
      </c>
      <c r="J27" t="str">
        <f>C6</f>
        <v>600x+240y+h1=30000</v>
      </c>
      <c r="L27" s="6">
        <f>600*H26+240*H27+H28</f>
        <v>30000</v>
      </c>
    </row>
    <row r="28" spans="6:14" x14ac:dyDescent="0.3">
      <c r="G28" s="18" t="s">
        <v>39</v>
      </c>
      <c r="H28" s="18">
        <v>0</v>
      </c>
      <c r="J28" t="str">
        <f t="shared" ref="J28:J30" si="15">C7</f>
        <v>-x+h2=-23</v>
      </c>
      <c r="L28" s="6">
        <f>-H26+H29</f>
        <v>-23</v>
      </c>
    </row>
    <row r="29" spans="6:14" x14ac:dyDescent="0.3">
      <c r="G29" s="18" t="s">
        <v>40</v>
      </c>
      <c r="H29" s="18">
        <f>N20</f>
        <v>17</v>
      </c>
      <c r="J29" t="str">
        <f t="shared" si="15"/>
        <v>-y+h3=-20</v>
      </c>
      <c r="L29" s="6">
        <f>-H27+H30</f>
        <v>-20</v>
      </c>
    </row>
    <row r="30" spans="6:14" x14ac:dyDescent="0.3">
      <c r="G30" s="18" t="s">
        <v>121</v>
      </c>
      <c r="H30" s="18">
        <f>N21</f>
        <v>5</v>
      </c>
      <c r="J30" t="str">
        <f t="shared" si="15"/>
        <v>-x-y+h4=-65</v>
      </c>
      <c r="L30" s="6">
        <f>-H26-H27+H31</f>
        <v>-65</v>
      </c>
    </row>
    <row r="31" spans="6:14" x14ac:dyDescent="0.3">
      <c r="G31" s="18" t="s">
        <v>122</v>
      </c>
      <c r="H31" s="18">
        <v>0</v>
      </c>
    </row>
    <row r="32" spans="6:14" x14ac:dyDescent="0.3">
      <c r="G32" s="19" t="s">
        <v>41</v>
      </c>
      <c r="H32" s="18">
        <f>N23</f>
        <v>9800</v>
      </c>
      <c r="J32" t="str">
        <f>C4</f>
        <v>Mín Z= 120x+200y+0h1+0h2+0h3+0h4</v>
      </c>
      <c r="M32" s="6">
        <f>120*H26+200*H27+0*H28+0*H29+0*H30+0*H31</f>
        <v>9800</v>
      </c>
    </row>
    <row r="33" spans="17:18" x14ac:dyDescent="0.3">
      <c r="Q33" s="10" t="s">
        <v>190</v>
      </c>
      <c r="R33" s="10">
        <f>120*40+200*25</f>
        <v>9800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273F-6BFC-4F5A-BC7D-7BFD5B6EAE3C}">
  <dimension ref="A1:U25"/>
  <sheetViews>
    <sheetView topLeftCell="E1" zoomScaleNormal="100" workbookViewId="0">
      <selection activeCell="S24" sqref="S24"/>
    </sheetView>
  </sheetViews>
  <sheetFormatPr baseColWidth="10" defaultRowHeight="14.4" x14ac:dyDescent="0.3"/>
  <sheetData>
    <row r="1" spans="1:21" x14ac:dyDescent="0.3">
      <c r="A1" t="s">
        <v>53</v>
      </c>
      <c r="P1" t="s">
        <v>168</v>
      </c>
    </row>
    <row r="2" spans="1:21" x14ac:dyDescent="0.3">
      <c r="A2" t="s">
        <v>54</v>
      </c>
    </row>
    <row r="3" spans="1:21" x14ac:dyDescent="0.3">
      <c r="A3" t="s">
        <v>55</v>
      </c>
      <c r="P3" s="26" t="s">
        <v>169</v>
      </c>
      <c r="Q3" s="26" t="s">
        <v>93</v>
      </c>
      <c r="R3" s="26">
        <v>12000</v>
      </c>
      <c r="S3" s="26" t="s">
        <v>94</v>
      </c>
      <c r="T3" s="26">
        <v>10000</v>
      </c>
      <c r="U3">
        <f>R3+T3</f>
        <v>22000</v>
      </c>
    </row>
    <row r="4" spans="1:21" x14ac:dyDescent="0.3">
      <c r="A4" t="s">
        <v>56</v>
      </c>
      <c r="C4" t="s">
        <v>126</v>
      </c>
      <c r="G4" s="10" t="s">
        <v>64</v>
      </c>
      <c r="H4" s="10" t="s">
        <v>65</v>
      </c>
      <c r="I4" s="10" t="s">
        <v>20</v>
      </c>
      <c r="J4" s="10" t="s">
        <v>21</v>
      </c>
      <c r="K4" s="10" t="s">
        <v>22</v>
      </c>
      <c r="P4" s="27" t="s">
        <v>170</v>
      </c>
      <c r="Q4" s="27" t="s">
        <v>93</v>
      </c>
      <c r="R4" s="27">
        <v>12000</v>
      </c>
      <c r="S4" s="27" t="s">
        <v>94</v>
      </c>
      <c r="T4" s="27">
        <f>15000-R4</f>
        <v>3000</v>
      </c>
      <c r="U4">
        <f>R4+T4</f>
        <v>15000</v>
      </c>
    </row>
    <row r="5" spans="1:21" x14ac:dyDescent="0.3">
      <c r="A5" t="s">
        <v>5</v>
      </c>
      <c r="F5" t="s">
        <v>20</v>
      </c>
      <c r="G5">
        <v>1</v>
      </c>
      <c r="H5" s="4">
        <v>0</v>
      </c>
      <c r="I5">
        <v>1</v>
      </c>
      <c r="J5">
        <v>0</v>
      </c>
      <c r="K5">
        <v>0</v>
      </c>
      <c r="L5">
        <v>12000</v>
      </c>
      <c r="M5" s="5" t="e">
        <f>L5/H5</f>
        <v>#DIV/0!</v>
      </c>
      <c r="P5" s="26" t="s">
        <v>171</v>
      </c>
      <c r="Q5" s="26" t="s">
        <v>93</v>
      </c>
      <c r="R5" s="26"/>
      <c r="S5" s="26" t="s">
        <v>94</v>
      </c>
      <c r="T5" s="26"/>
    </row>
    <row r="6" spans="1:21" x14ac:dyDescent="0.3">
      <c r="A6" t="s">
        <v>58</v>
      </c>
      <c r="C6" t="s">
        <v>123</v>
      </c>
      <c r="F6" t="s">
        <v>21</v>
      </c>
      <c r="G6" s="4">
        <v>0</v>
      </c>
      <c r="H6" s="4">
        <v>1</v>
      </c>
      <c r="I6" s="4">
        <v>0</v>
      </c>
      <c r="J6" s="4">
        <v>1</v>
      </c>
      <c r="K6" s="4">
        <v>0</v>
      </c>
      <c r="L6" s="4">
        <v>10000</v>
      </c>
      <c r="M6" s="5">
        <f t="shared" ref="M6:M7" si="0">L6/H6</f>
        <v>10000</v>
      </c>
      <c r="P6" s="27" t="s">
        <v>172</v>
      </c>
      <c r="Q6" s="27" t="s">
        <v>93</v>
      </c>
      <c r="R6" s="27">
        <v>12000</v>
      </c>
      <c r="S6" s="27" t="s">
        <v>94</v>
      </c>
      <c r="T6" s="27">
        <v>0</v>
      </c>
      <c r="U6">
        <f>R6+T6</f>
        <v>12000</v>
      </c>
    </row>
    <row r="7" spans="1:21" x14ac:dyDescent="0.3">
      <c r="A7" t="s">
        <v>57</v>
      </c>
      <c r="C7" t="s">
        <v>124</v>
      </c>
      <c r="F7" t="s">
        <v>22</v>
      </c>
      <c r="G7">
        <v>1</v>
      </c>
      <c r="H7" s="4">
        <v>1</v>
      </c>
      <c r="I7">
        <v>0</v>
      </c>
      <c r="J7">
        <v>0</v>
      </c>
      <c r="K7">
        <v>1</v>
      </c>
      <c r="L7">
        <v>15000</v>
      </c>
      <c r="M7" s="5">
        <f t="shared" si="0"/>
        <v>15000</v>
      </c>
      <c r="P7" s="27" t="s">
        <v>173</v>
      </c>
      <c r="Q7" s="27" t="s">
        <v>93</v>
      </c>
      <c r="R7" s="27">
        <f>15000-T7</f>
        <v>5000</v>
      </c>
      <c r="S7" s="27" t="s">
        <v>94</v>
      </c>
      <c r="T7" s="27">
        <v>10000</v>
      </c>
      <c r="U7">
        <f>R7+T7</f>
        <v>15000</v>
      </c>
    </row>
    <row r="8" spans="1:21" x14ac:dyDescent="0.3">
      <c r="A8" t="s">
        <v>59</v>
      </c>
      <c r="C8" t="s">
        <v>125</v>
      </c>
      <c r="F8" t="s">
        <v>24</v>
      </c>
      <c r="G8">
        <v>-0.5</v>
      </c>
      <c r="H8" s="4">
        <v>-0.7</v>
      </c>
      <c r="I8">
        <v>0</v>
      </c>
      <c r="J8">
        <v>0</v>
      </c>
      <c r="K8">
        <v>0</v>
      </c>
      <c r="L8">
        <v>0</v>
      </c>
      <c r="P8" s="27" t="s">
        <v>174</v>
      </c>
      <c r="Q8" s="27" t="s">
        <v>93</v>
      </c>
      <c r="R8" s="27">
        <v>0</v>
      </c>
      <c r="S8" s="27" t="s">
        <v>94</v>
      </c>
      <c r="T8" s="27">
        <v>10000</v>
      </c>
    </row>
    <row r="9" spans="1:21" x14ac:dyDescent="0.3">
      <c r="A9" t="s">
        <v>60</v>
      </c>
      <c r="P9" s="26" t="s">
        <v>175</v>
      </c>
      <c r="Q9" s="26" t="s">
        <v>93</v>
      </c>
      <c r="R9" s="26"/>
      <c r="S9" s="26" t="s">
        <v>94</v>
      </c>
      <c r="T9" s="26"/>
    </row>
    <row r="10" spans="1:21" x14ac:dyDescent="0.3">
      <c r="F10" t="s">
        <v>20</v>
      </c>
      <c r="G10" s="4">
        <f>G5</f>
        <v>1</v>
      </c>
      <c r="H10">
        <f t="shared" ref="H10:L10" si="1">H5</f>
        <v>0</v>
      </c>
      <c r="I10">
        <f t="shared" si="1"/>
        <v>1</v>
      </c>
      <c r="J10">
        <f t="shared" si="1"/>
        <v>0</v>
      </c>
      <c r="K10">
        <f t="shared" si="1"/>
        <v>0</v>
      </c>
      <c r="L10">
        <f t="shared" si="1"/>
        <v>12000</v>
      </c>
      <c r="M10" s="5">
        <f>L10/G10</f>
        <v>12000</v>
      </c>
      <c r="P10" s="26" t="s">
        <v>176</v>
      </c>
      <c r="Q10" s="26" t="s">
        <v>93</v>
      </c>
      <c r="R10" s="26">
        <v>0</v>
      </c>
      <c r="S10" s="26" t="s">
        <v>94</v>
      </c>
      <c r="T10" s="26">
        <v>15000</v>
      </c>
    </row>
    <row r="11" spans="1:21" x14ac:dyDescent="0.3">
      <c r="F11" t="s">
        <v>65</v>
      </c>
      <c r="G11" s="4">
        <f>G6</f>
        <v>0</v>
      </c>
      <c r="H11">
        <f t="shared" ref="H11:L11" si="2">H6</f>
        <v>1</v>
      </c>
      <c r="I11">
        <f t="shared" si="2"/>
        <v>0</v>
      </c>
      <c r="J11">
        <f t="shared" si="2"/>
        <v>1</v>
      </c>
      <c r="K11">
        <f t="shared" si="2"/>
        <v>0</v>
      </c>
      <c r="L11">
        <f t="shared" si="2"/>
        <v>10000</v>
      </c>
      <c r="M11" s="5" t="e">
        <f t="shared" ref="M11:M13" si="3">L11/G11</f>
        <v>#DIV/0!</v>
      </c>
      <c r="P11" s="26" t="s">
        <v>177</v>
      </c>
      <c r="Q11" s="26" t="s">
        <v>93</v>
      </c>
      <c r="R11" s="26">
        <v>15000</v>
      </c>
      <c r="S11" s="26" t="s">
        <v>94</v>
      </c>
      <c r="T11" s="26">
        <v>0</v>
      </c>
    </row>
    <row r="12" spans="1:21" x14ac:dyDescent="0.3">
      <c r="E12" s="1" t="s">
        <v>127</v>
      </c>
      <c r="F12" t="s">
        <v>22</v>
      </c>
      <c r="G12" s="4">
        <f>-G11+G7</f>
        <v>1</v>
      </c>
      <c r="H12" s="4">
        <f t="shared" ref="H12:L12" si="4">-H11+H7</f>
        <v>0</v>
      </c>
      <c r="I12" s="4">
        <f t="shared" si="4"/>
        <v>0</v>
      </c>
      <c r="J12" s="4">
        <f t="shared" si="4"/>
        <v>-1</v>
      </c>
      <c r="K12" s="4">
        <f t="shared" si="4"/>
        <v>1</v>
      </c>
      <c r="L12" s="4">
        <f t="shared" si="4"/>
        <v>5000</v>
      </c>
      <c r="M12" s="5">
        <f t="shared" si="3"/>
        <v>5000</v>
      </c>
      <c r="P12" s="27" t="s">
        <v>178</v>
      </c>
      <c r="Q12" s="27" t="s">
        <v>93</v>
      </c>
      <c r="R12" s="27">
        <v>0</v>
      </c>
      <c r="S12" s="27" t="s">
        <v>94</v>
      </c>
      <c r="T12" s="27">
        <v>0</v>
      </c>
    </row>
    <row r="13" spans="1:21" x14ac:dyDescent="0.3">
      <c r="E13" t="s">
        <v>128</v>
      </c>
      <c r="F13" t="s">
        <v>24</v>
      </c>
      <c r="G13" s="4">
        <f>0.7*G11+G8</f>
        <v>-0.5</v>
      </c>
      <c r="H13">
        <f t="shared" ref="H13:L13" si="5">0.7*H11+H8</f>
        <v>0</v>
      </c>
      <c r="I13">
        <f t="shared" si="5"/>
        <v>0</v>
      </c>
      <c r="J13">
        <f t="shared" si="5"/>
        <v>0.7</v>
      </c>
      <c r="K13">
        <f t="shared" si="5"/>
        <v>0</v>
      </c>
      <c r="L13">
        <f t="shared" si="5"/>
        <v>7000</v>
      </c>
    </row>
    <row r="14" spans="1:21" x14ac:dyDescent="0.3">
      <c r="P14" s="25" t="s">
        <v>179</v>
      </c>
      <c r="R14">
        <f>0.5*R4+0.7*T4</f>
        <v>8100</v>
      </c>
    </row>
    <row r="15" spans="1:21" x14ac:dyDescent="0.3">
      <c r="E15" s="1" t="s">
        <v>129</v>
      </c>
      <c r="F15" t="s">
        <v>20</v>
      </c>
      <c r="G15">
        <f>-G17+G10</f>
        <v>0</v>
      </c>
      <c r="H15">
        <f t="shared" ref="H15:L15" si="6">-H17+H10</f>
        <v>0</v>
      </c>
      <c r="I15">
        <f t="shared" si="6"/>
        <v>1</v>
      </c>
      <c r="J15">
        <f t="shared" si="6"/>
        <v>1</v>
      </c>
      <c r="K15">
        <f t="shared" si="6"/>
        <v>-1</v>
      </c>
      <c r="L15">
        <f t="shared" si="6"/>
        <v>7000</v>
      </c>
      <c r="P15" t="s">
        <v>180</v>
      </c>
      <c r="R15">
        <f>0.5*R6+0.7*T6</f>
        <v>6000</v>
      </c>
    </row>
    <row r="16" spans="1:21" x14ac:dyDescent="0.3">
      <c r="F16" t="s">
        <v>65</v>
      </c>
      <c r="G16">
        <f>G11</f>
        <v>0</v>
      </c>
      <c r="H16">
        <f t="shared" ref="H16:L16" si="7">H11</f>
        <v>1</v>
      </c>
      <c r="I16">
        <f t="shared" si="7"/>
        <v>0</v>
      </c>
      <c r="J16">
        <f t="shared" si="7"/>
        <v>1</v>
      </c>
      <c r="K16">
        <f t="shared" si="7"/>
        <v>0</v>
      </c>
      <c r="L16">
        <f t="shared" si="7"/>
        <v>10000</v>
      </c>
      <c r="P16" s="28" t="s">
        <v>181</v>
      </c>
      <c r="Q16" s="28"/>
      <c r="R16" s="28">
        <f>0.5*R7+0.7*T7</f>
        <v>9500</v>
      </c>
      <c r="S16" s="10" t="s">
        <v>184</v>
      </c>
    </row>
    <row r="17" spans="5:18" x14ac:dyDescent="0.3">
      <c r="F17" t="s">
        <v>64</v>
      </c>
      <c r="G17">
        <f>G12</f>
        <v>1</v>
      </c>
      <c r="H17">
        <f t="shared" ref="H17:L17" si="8">H12</f>
        <v>0</v>
      </c>
      <c r="I17">
        <f t="shared" si="8"/>
        <v>0</v>
      </c>
      <c r="J17">
        <f t="shared" si="8"/>
        <v>-1</v>
      </c>
      <c r="K17">
        <f t="shared" si="8"/>
        <v>1</v>
      </c>
      <c r="L17">
        <f t="shared" si="8"/>
        <v>5000</v>
      </c>
      <c r="P17" t="s">
        <v>182</v>
      </c>
      <c r="R17">
        <f>0.5*R8+0.7*T8</f>
        <v>7000</v>
      </c>
    </row>
    <row r="18" spans="5:18" x14ac:dyDescent="0.3">
      <c r="E18" t="s">
        <v>130</v>
      </c>
      <c r="F18" t="s">
        <v>24</v>
      </c>
      <c r="G18">
        <f>0.5*G17+G13</f>
        <v>0</v>
      </c>
      <c r="H18">
        <f t="shared" ref="H18:L18" si="9">0.5*H17+H13</f>
        <v>0</v>
      </c>
      <c r="I18">
        <f t="shared" si="9"/>
        <v>0</v>
      </c>
      <c r="J18">
        <f t="shared" si="9"/>
        <v>0.19999999999999996</v>
      </c>
      <c r="K18">
        <f t="shared" si="9"/>
        <v>0.5</v>
      </c>
      <c r="L18">
        <f t="shared" si="9"/>
        <v>9500</v>
      </c>
      <c r="P18" t="s">
        <v>183</v>
      </c>
      <c r="R18">
        <f>0.5*R12+0.7*T12</f>
        <v>0</v>
      </c>
    </row>
    <row r="20" spans="5:18" x14ac:dyDescent="0.3">
      <c r="F20" s="13" t="s">
        <v>93</v>
      </c>
      <c r="G20" s="13">
        <f>L17</f>
        <v>5000</v>
      </c>
      <c r="I20" t="s">
        <v>42</v>
      </c>
    </row>
    <row r="21" spans="5:18" x14ac:dyDescent="0.3">
      <c r="F21" s="13" t="s">
        <v>94</v>
      </c>
      <c r="G21" s="13">
        <f>L16</f>
        <v>10000</v>
      </c>
      <c r="I21" t="str">
        <f>C4</f>
        <v>Máx Z= 0.5A+0.7B+0h1+0h2+0h3</v>
      </c>
      <c r="L21">
        <f>0.5*G20+0.7*G21+0*G22+0*G23+0*G24</f>
        <v>9500</v>
      </c>
    </row>
    <row r="22" spans="5:18" x14ac:dyDescent="0.3">
      <c r="F22" s="13" t="s">
        <v>39</v>
      </c>
      <c r="G22" s="13">
        <f>L15</f>
        <v>7000</v>
      </c>
    </row>
    <row r="23" spans="5:18" x14ac:dyDescent="0.3">
      <c r="F23" s="13" t="s">
        <v>40</v>
      </c>
      <c r="G23" s="13">
        <v>0</v>
      </c>
      <c r="I23" t="str">
        <f>C6</f>
        <v>A+h1=12000</v>
      </c>
      <c r="L23">
        <f>G20+G22</f>
        <v>12000</v>
      </c>
    </row>
    <row r="24" spans="5:18" x14ac:dyDescent="0.3">
      <c r="F24" s="13" t="s">
        <v>121</v>
      </c>
      <c r="G24" s="13">
        <v>0</v>
      </c>
      <c r="I24" t="str">
        <f t="shared" ref="I24:I25" si="10">C7</f>
        <v>B+h2=10000</v>
      </c>
      <c r="L24">
        <f>G21+G23</f>
        <v>10000</v>
      </c>
    </row>
    <row r="25" spans="5:18" x14ac:dyDescent="0.3">
      <c r="F25" s="13" t="s">
        <v>41</v>
      </c>
      <c r="G25" s="13">
        <f>L18</f>
        <v>9500</v>
      </c>
      <c r="I25" t="str">
        <f t="shared" si="10"/>
        <v>A+B+h3=15000</v>
      </c>
      <c r="L25">
        <f>G20+G21+G24</f>
        <v>15000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4711-6C78-400D-B881-9DCCD83D144B}">
  <dimension ref="A1:N44"/>
  <sheetViews>
    <sheetView workbookViewId="0">
      <selection activeCell="N45" sqref="N45"/>
    </sheetView>
  </sheetViews>
  <sheetFormatPr baseColWidth="10" defaultRowHeight="14.4" x14ac:dyDescent="0.3"/>
  <cols>
    <col min="14" max="14" width="15.6640625" customWidth="1"/>
  </cols>
  <sheetData>
    <row r="1" spans="1:14" x14ac:dyDescent="0.3">
      <c r="A1" t="s">
        <v>61</v>
      </c>
    </row>
    <row r="2" spans="1:14" x14ac:dyDescent="0.3">
      <c r="A2" t="s">
        <v>62</v>
      </c>
    </row>
    <row r="3" spans="1:14" x14ac:dyDescent="0.3">
      <c r="A3" t="s">
        <v>63</v>
      </c>
    </row>
    <row r="5" spans="1:14" x14ac:dyDescent="0.3">
      <c r="A5" s="14"/>
      <c r="B5" s="14" t="s">
        <v>66</v>
      </c>
      <c r="C5" s="14" t="s">
        <v>67</v>
      </c>
      <c r="D5" s="14" t="s">
        <v>68</v>
      </c>
      <c r="E5" s="14"/>
    </row>
    <row r="6" spans="1:14" x14ac:dyDescent="0.3">
      <c r="A6" s="14" t="s">
        <v>64</v>
      </c>
      <c r="B6" s="15">
        <v>8</v>
      </c>
      <c r="C6" s="15">
        <v>1</v>
      </c>
      <c r="D6" s="15">
        <v>2</v>
      </c>
      <c r="E6" s="16">
        <v>200</v>
      </c>
    </row>
    <row r="7" spans="1:14" x14ac:dyDescent="0.3">
      <c r="A7" s="14" t="s">
        <v>65</v>
      </c>
      <c r="B7" s="15">
        <v>2</v>
      </c>
      <c r="C7" s="15">
        <v>1</v>
      </c>
      <c r="D7" s="15">
        <v>7</v>
      </c>
      <c r="E7" s="16">
        <v>300</v>
      </c>
    </row>
    <row r="8" spans="1:14" x14ac:dyDescent="0.3">
      <c r="A8" s="14"/>
      <c r="B8" s="14" t="s">
        <v>69</v>
      </c>
      <c r="C8" s="14" t="s">
        <v>70</v>
      </c>
      <c r="D8" s="14" t="s">
        <v>71</v>
      </c>
      <c r="E8" s="14"/>
    </row>
    <row r="10" spans="1:14" x14ac:dyDescent="0.3">
      <c r="A10" t="s">
        <v>75</v>
      </c>
      <c r="D10" t="s">
        <v>134</v>
      </c>
      <c r="H10" t="s">
        <v>16</v>
      </c>
      <c r="I10" s="14">
        <v>200</v>
      </c>
      <c r="J10" s="14">
        <v>300</v>
      </c>
      <c r="K10" s="14">
        <v>0</v>
      </c>
      <c r="L10" s="14">
        <v>0</v>
      </c>
      <c r="M10" s="14">
        <v>0</v>
      </c>
    </row>
    <row r="11" spans="1:14" x14ac:dyDescent="0.3">
      <c r="A11" t="s">
        <v>5</v>
      </c>
      <c r="I11" s="21" t="s">
        <v>64</v>
      </c>
      <c r="J11" s="21" t="s">
        <v>65</v>
      </c>
      <c r="K11" s="21" t="s">
        <v>20</v>
      </c>
      <c r="L11" s="21" t="s">
        <v>21</v>
      </c>
      <c r="M11" s="21" t="s">
        <v>22</v>
      </c>
    </row>
    <row r="12" spans="1:14" x14ac:dyDescent="0.3">
      <c r="A12" t="s">
        <v>72</v>
      </c>
      <c r="D12" s="1" t="s">
        <v>131</v>
      </c>
      <c r="H12" t="s">
        <v>20</v>
      </c>
      <c r="I12" s="6">
        <v>-8</v>
      </c>
      <c r="J12" s="7">
        <v>-2</v>
      </c>
      <c r="K12" s="6">
        <v>1</v>
      </c>
      <c r="L12" s="6">
        <v>0</v>
      </c>
      <c r="M12" s="6">
        <v>0</v>
      </c>
      <c r="N12" s="6">
        <v>-16</v>
      </c>
    </row>
    <row r="13" spans="1:14" x14ac:dyDescent="0.3">
      <c r="A13" t="s">
        <v>73</v>
      </c>
      <c r="D13" s="1" t="s">
        <v>132</v>
      </c>
      <c r="H13" t="s">
        <v>21</v>
      </c>
      <c r="I13" s="6">
        <v>-1</v>
      </c>
      <c r="J13" s="7">
        <v>-1</v>
      </c>
      <c r="K13" s="6">
        <v>0</v>
      </c>
      <c r="L13" s="6">
        <v>1</v>
      </c>
      <c r="M13" s="6">
        <v>0</v>
      </c>
      <c r="N13" s="6">
        <v>-5</v>
      </c>
    </row>
    <row r="14" spans="1:14" x14ac:dyDescent="0.3">
      <c r="A14" t="s">
        <v>74</v>
      </c>
      <c r="D14" s="1" t="s">
        <v>133</v>
      </c>
      <c r="H14" t="s">
        <v>22</v>
      </c>
      <c r="I14" s="7">
        <v>-2</v>
      </c>
      <c r="J14" s="7">
        <v>-7</v>
      </c>
      <c r="K14" s="7">
        <v>0</v>
      </c>
      <c r="L14" s="7">
        <v>0</v>
      </c>
      <c r="M14" s="7">
        <v>1</v>
      </c>
      <c r="N14" s="7">
        <v>-20</v>
      </c>
    </row>
    <row r="15" spans="1:14" x14ac:dyDescent="0.3">
      <c r="A15" t="s">
        <v>60</v>
      </c>
      <c r="H15" t="s">
        <v>24</v>
      </c>
      <c r="I15" s="6">
        <v>0</v>
      </c>
      <c r="J15" s="7">
        <v>0</v>
      </c>
      <c r="K15" s="6">
        <v>0</v>
      </c>
      <c r="L15" s="6">
        <v>0</v>
      </c>
      <c r="M15" s="6">
        <v>0</v>
      </c>
      <c r="N15" s="6">
        <v>0</v>
      </c>
    </row>
    <row r="16" spans="1:14" x14ac:dyDescent="0.3">
      <c r="H16" t="s">
        <v>25</v>
      </c>
      <c r="I16" s="6">
        <f>I10-I15</f>
        <v>200</v>
      </c>
      <c r="J16" s="7">
        <f t="shared" ref="J16:M16" si="0">J10-J15</f>
        <v>300</v>
      </c>
      <c r="K16" s="6">
        <f t="shared" si="0"/>
        <v>0</v>
      </c>
      <c r="L16" s="6">
        <f t="shared" si="0"/>
        <v>0</v>
      </c>
      <c r="M16" s="6">
        <f t="shared" si="0"/>
        <v>0</v>
      </c>
      <c r="N16" s="6"/>
    </row>
    <row r="17" spans="7:14" x14ac:dyDescent="0.3">
      <c r="I17" s="17">
        <f>I16/I14</f>
        <v>-100</v>
      </c>
      <c r="J17" s="17">
        <f t="shared" ref="J17:M17" si="1">J16/J14</f>
        <v>-42.857142857142854</v>
      </c>
      <c r="K17" s="17" t="e">
        <f t="shared" si="1"/>
        <v>#DIV/0!</v>
      </c>
      <c r="L17" s="17" t="e">
        <f t="shared" si="1"/>
        <v>#DIV/0!</v>
      </c>
      <c r="M17" s="17">
        <f t="shared" si="1"/>
        <v>0</v>
      </c>
      <c r="N17" s="6"/>
    </row>
    <row r="19" spans="7:14" x14ac:dyDescent="0.3">
      <c r="G19" t="s">
        <v>135</v>
      </c>
      <c r="H19" t="s">
        <v>20</v>
      </c>
      <c r="I19" s="7">
        <f>2*I21+I12</f>
        <v>-7.4285714285714288</v>
      </c>
      <c r="J19" s="7">
        <f t="shared" ref="J19:N19" si="2">2*J21+J12</f>
        <v>0</v>
      </c>
      <c r="K19" s="7">
        <f t="shared" si="2"/>
        <v>1</v>
      </c>
      <c r="L19" s="7">
        <f t="shared" si="2"/>
        <v>0</v>
      </c>
      <c r="M19" s="7">
        <f t="shared" si="2"/>
        <v>-0.2857142857142857</v>
      </c>
      <c r="N19" s="7">
        <f t="shared" si="2"/>
        <v>-10.285714285714285</v>
      </c>
    </row>
    <row r="20" spans="7:14" x14ac:dyDescent="0.3">
      <c r="G20" t="s">
        <v>136</v>
      </c>
      <c r="H20" t="s">
        <v>21</v>
      </c>
      <c r="I20" s="7">
        <f>I21+I13</f>
        <v>-0.7142857142857143</v>
      </c>
      <c r="J20" s="6">
        <f t="shared" ref="J20:N20" si="3">J21+J13</f>
        <v>0</v>
      </c>
      <c r="K20" s="6">
        <f t="shared" si="3"/>
        <v>0</v>
      </c>
      <c r="L20" s="6">
        <f t="shared" si="3"/>
        <v>1</v>
      </c>
      <c r="M20" s="6">
        <f t="shared" si="3"/>
        <v>-0.14285714285714285</v>
      </c>
      <c r="N20" s="6">
        <f t="shared" si="3"/>
        <v>-2.1428571428571428</v>
      </c>
    </row>
    <row r="21" spans="7:14" x14ac:dyDescent="0.3">
      <c r="H21" t="s">
        <v>65</v>
      </c>
      <c r="I21" s="7">
        <f>I14/-7</f>
        <v>0.2857142857142857</v>
      </c>
      <c r="J21" s="6">
        <f t="shared" ref="J21:N21" si="4">J14/-7</f>
        <v>1</v>
      </c>
      <c r="K21" s="6">
        <f t="shared" si="4"/>
        <v>0</v>
      </c>
      <c r="L21" s="6">
        <f t="shared" si="4"/>
        <v>0</v>
      </c>
      <c r="M21" s="6">
        <f t="shared" si="4"/>
        <v>-0.14285714285714285</v>
      </c>
      <c r="N21" s="6">
        <f t="shared" si="4"/>
        <v>2.8571428571428572</v>
      </c>
    </row>
    <row r="22" spans="7:14" x14ac:dyDescent="0.3">
      <c r="H22" t="s">
        <v>24</v>
      </c>
      <c r="I22" s="7">
        <f>300*I21</f>
        <v>85.714285714285708</v>
      </c>
      <c r="J22" s="6">
        <f t="shared" ref="J22:N22" si="5">300*J21</f>
        <v>300</v>
      </c>
      <c r="K22" s="6">
        <f t="shared" si="5"/>
        <v>0</v>
      </c>
      <c r="L22" s="6">
        <f t="shared" si="5"/>
        <v>0</v>
      </c>
      <c r="M22" s="6">
        <f t="shared" si="5"/>
        <v>-42.857142857142854</v>
      </c>
      <c r="N22" s="6">
        <f t="shared" si="5"/>
        <v>857.14285714285711</v>
      </c>
    </row>
    <row r="23" spans="7:14" x14ac:dyDescent="0.3">
      <c r="H23" t="s">
        <v>25</v>
      </c>
      <c r="I23" s="7">
        <f>I10-I22</f>
        <v>114.28571428571429</v>
      </c>
      <c r="J23" s="6">
        <f t="shared" ref="J23:M23" si="6">J10-J22</f>
        <v>0</v>
      </c>
      <c r="K23" s="6">
        <f t="shared" si="6"/>
        <v>0</v>
      </c>
      <c r="L23" s="6">
        <f t="shared" si="6"/>
        <v>0</v>
      </c>
      <c r="M23" s="6">
        <f t="shared" si="6"/>
        <v>42.857142857142854</v>
      </c>
    </row>
    <row r="24" spans="7:14" x14ac:dyDescent="0.3">
      <c r="I24" s="17">
        <f>I23/I19</f>
        <v>-15.384615384615385</v>
      </c>
      <c r="J24" s="17" t="e">
        <f t="shared" ref="J24:M24" si="7">J23/J19</f>
        <v>#DIV/0!</v>
      </c>
      <c r="K24" s="17">
        <f t="shared" si="7"/>
        <v>0</v>
      </c>
      <c r="L24" s="17" t="e">
        <f t="shared" si="7"/>
        <v>#DIV/0!</v>
      </c>
      <c r="M24" s="17">
        <f t="shared" si="7"/>
        <v>-150</v>
      </c>
    </row>
    <row r="26" spans="7:14" x14ac:dyDescent="0.3">
      <c r="H26" t="s">
        <v>64</v>
      </c>
      <c r="I26" s="6">
        <f>-7/52*I19</f>
        <v>1</v>
      </c>
      <c r="J26" s="6">
        <f t="shared" ref="J26:N26" si="8">-7/52*J19</f>
        <v>0</v>
      </c>
      <c r="K26" s="7">
        <f t="shared" si="8"/>
        <v>-0.13461538461538461</v>
      </c>
      <c r="L26" s="6">
        <f t="shared" si="8"/>
        <v>0</v>
      </c>
      <c r="M26" s="6">
        <f t="shared" si="8"/>
        <v>3.8461538461538457E-2</v>
      </c>
      <c r="N26" s="6">
        <f t="shared" si="8"/>
        <v>1.3846153846153844</v>
      </c>
    </row>
    <row r="27" spans="7:14" x14ac:dyDescent="0.3">
      <c r="G27" t="s">
        <v>137</v>
      </c>
      <c r="H27" t="s">
        <v>21</v>
      </c>
      <c r="I27" s="7">
        <f>5/7*I26+I20</f>
        <v>0</v>
      </c>
      <c r="J27" s="7">
        <f t="shared" ref="J27:N27" si="9">5/7*J26+J20</f>
        <v>0</v>
      </c>
      <c r="K27" s="7">
        <f t="shared" si="9"/>
        <v>-9.6153846153846145E-2</v>
      </c>
      <c r="L27" s="7">
        <f t="shared" si="9"/>
        <v>1</v>
      </c>
      <c r="M27" s="7">
        <f t="shared" si="9"/>
        <v>-0.11538461538461538</v>
      </c>
      <c r="N27" s="7">
        <f t="shared" si="9"/>
        <v>-1.153846153846154</v>
      </c>
    </row>
    <row r="28" spans="7:14" x14ac:dyDescent="0.3">
      <c r="G28" s="1" t="s">
        <v>138</v>
      </c>
      <c r="H28" t="s">
        <v>65</v>
      </c>
      <c r="I28" s="6">
        <f>-2/7*I26+I21</f>
        <v>0</v>
      </c>
      <c r="J28" s="6">
        <f t="shared" ref="J28:N28" si="10">-2/7*J26+J21</f>
        <v>1</v>
      </c>
      <c r="K28" s="7">
        <f t="shared" si="10"/>
        <v>3.8461538461538457E-2</v>
      </c>
      <c r="L28" s="6">
        <f t="shared" si="10"/>
        <v>0</v>
      </c>
      <c r="M28" s="6">
        <f t="shared" si="10"/>
        <v>-0.15384615384615383</v>
      </c>
      <c r="N28" s="6">
        <f t="shared" si="10"/>
        <v>2.4615384615384617</v>
      </c>
    </row>
    <row r="29" spans="7:14" x14ac:dyDescent="0.3">
      <c r="H29" t="s">
        <v>24</v>
      </c>
      <c r="I29" s="6">
        <f>200*I26+300*I28</f>
        <v>200</v>
      </c>
      <c r="J29" s="6">
        <f t="shared" ref="J29:N29" si="11">200*J26+300*J28</f>
        <v>300</v>
      </c>
      <c r="K29" s="7">
        <f t="shared" si="11"/>
        <v>-15.384615384615387</v>
      </c>
      <c r="L29" s="6">
        <f t="shared" si="11"/>
        <v>0</v>
      </c>
      <c r="M29" s="6">
        <f t="shared" si="11"/>
        <v>-38.461538461538453</v>
      </c>
      <c r="N29" s="6">
        <f t="shared" si="11"/>
        <v>1015.3846153846152</v>
      </c>
    </row>
    <row r="30" spans="7:14" x14ac:dyDescent="0.3">
      <c r="H30" t="s">
        <v>25</v>
      </c>
      <c r="I30" s="6">
        <f>I10-I29</f>
        <v>0</v>
      </c>
      <c r="J30" s="6">
        <f t="shared" ref="J30:M30" si="12">J10-J29</f>
        <v>0</v>
      </c>
      <c r="K30" s="7">
        <f t="shared" si="12"/>
        <v>15.384615384615387</v>
      </c>
      <c r="L30" s="6">
        <f t="shared" si="12"/>
        <v>0</v>
      </c>
      <c r="M30" s="6">
        <f t="shared" si="12"/>
        <v>38.461538461538453</v>
      </c>
      <c r="N30" s="6"/>
    </row>
    <row r="31" spans="7:14" x14ac:dyDescent="0.3">
      <c r="I31" s="17" t="e">
        <f>I30/I27</f>
        <v>#DIV/0!</v>
      </c>
      <c r="J31" s="17" t="e">
        <f t="shared" ref="J31:M31" si="13">J30/J27</f>
        <v>#DIV/0!</v>
      </c>
      <c r="K31" s="17">
        <f t="shared" si="13"/>
        <v>-160.00000000000003</v>
      </c>
      <c r="L31" s="17">
        <f t="shared" si="13"/>
        <v>0</v>
      </c>
      <c r="M31" s="17">
        <f t="shared" si="13"/>
        <v>-333.33333333333326</v>
      </c>
      <c r="N31" s="6"/>
    </row>
    <row r="33" spans="7:14" x14ac:dyDescent="0.3">
      <c r="G33" t="s">
        <v>139</v>
      </c>
      <c r="H33" t="s">
        <v>64</v>
      </c>
      <c r="I33" s="6">
        <f>7/52*I34+I26</f>
        <v>1</v>
      </c>
      <c r="J33" s="6">
        <f t="shared" ref="J33:N33" si="14">7/52*J34+J26</f>
        <v>0</v>
      </c>
      <c r="K33" s="6">
        <f t="shared" si="14"/>
        <v>0</v>
      </c>
      <c r="L33" s="6">
        <f t="shared" si="14"/>
        <v>-1.4</v>
      </c>
      <c r="M33" s="6">
        <f t="shared" si="14"/>
        <v>0.19999999999999998</v>
      </c>
      <c r="N33" s="6">
        <f t="shared" si="14"/>
        <v>3</v>
      </c>
    </row>
    <row r="34" spans="7:14" x14ac:dyDescent="0.3">
      <c r="H34" t="s">
        <v>20</v>
      </c>
      <c r="I34" s="6">
        <f>-52/5*I27</f>
        <v>0</v>
      </c>
      <c r="J34" s="6">
        <f t="shared" ref="J34:N34" si="15">-52/5*J27</f>
        <v>0</v>
      </c>
      <c r="K34" s="6">
        <f t="shared" si="15"/>
        <v>1</v>
      </c>
      <c r="L34" s="6">
        <f t="shared" si="15"/>
        <v>-10.4</v>
      </c>
      <c r="M34" s="6">
        <f t="shared" si="15"/>
        <v>1.2</v>
      </c>
      <c r="N34" s="6">
        <f t="shared" si="15"/>
        <v>12.000000000000002</v>
      </c>
    </row>
    <row r="35" spans="7:14" x14ac:dyDescent="0.3">
      <c r="G35" s="1" t="s">
        <v>140</v>
      </c>
      <c r="H35" t="s">
        <v>65</v>
      </c>
      <c r="I35" s="6">
        <f>-1/26*I34+I28</f>
        <v>0</v>
      </c>
      <c r="J35" s="6">
        <f t="shared" ref="J35:N35" si="16">-1/26*J34+J28</f>
        <v>1</v>
      </c>
      <c r="K35" s="6">
        <f t="shared" si="16"/>
        <v>0</v>
      </c>
      <c r="L35" s="6">
        <f t="shared" si="16"/>
        <v>0.4</v>
      </c>
      <c r="M35" s="6">
        <f t="shared" si="16"/>
        <v>-0.19999999999999998</v>
      </c>
      <c r="N35" s="6">
        <f t="shared" si="16"/>
        <v>2</v>
      </c>
    </row>
    <row r="36" spans="7:14" x14ac:dyDescent="0.3">
      <c r="H36" t="s">
        <v>24</v>
      </c>
      <c r="I36" s="6">
        <f>200*I33+300*I35</f>
        <v>200</v>
      </c>
      <c r="J36" s="6">
        <f t="shared" ref="J36:N36" si="17">200*J33+300*J35</f>
        <v>300</v>
      </c>
      <c r="K36" s="6">
        <f t="shared" si="17"/>
        <v>0</v>
      </c>
      <c r="L36" s="6">
        <f t="shared" si="17"/>
        <v>-160</v>
      </c>
      <c r="M36" s="6">
        <f t="shared" si="17"/>
        <v>-19.999999999999993</v>
      </c>
      <c r="N36" s="6">
        <f t="shared" si="17"/>
        <v>1200</v>
      </c>
    </row>
    <row r="37" spans="7:14" x14ac:dyDescent="0.3">
      <c r="H37" t="s">
        <v>25</v>
      </c>
      <c r="I37" s="6">
        <f>I10-I36</f>
        <v>0</v>
      </c>
      <c r="J37" s="6">
        <f t="shared" ref="J37:M37" si="18">J10-J36</f>
        <v>0</v>
      </c>
      <c r="K37" s="6">
        <f t="shared" si="18"/>
        <v>0</v>
      </c>
      <c r="L37" s="6">
        <f t="shared" si="18"/>
        <v>160</v>
      </c>
      <c r="M37" s="6">
        <f t="shared" si="18"/>
        <v>19.999999999999993</v>
      </c>
    </row>
    <row r="39" spans="7:14" x14ac:dyDescent="0.3">
      <c r="H39" s="13" t="s">
        <v>93</v>
      </c>
      <c r="I39" s="13">
        <v>3</v>
      </c>
      <c r="K39" t="s">
        <v>42</v>
      </c>
    </row>
    <row r="40" spans="7:14" x14ac:dyDescent="0.3">
      <c r="H40" s="13" t="s">
        <v>94</v>
      </c>
      <c r="I40" s="13">
        <v>2</v>
      </c>
      <c r="K40" t="str">
        <f>D10</f>
        <v>Mín Z=200A+300B+0h1+0h2+0h3</v>
      </c>
      <c r="N40">
        <f>200*I39+300*I40+0*I41+0*I42+0*I43</f>
        <v>1200</v>
      </c>
    </row>
    <row r="41" spans="7:14" x14ac:dyDescent="0.3">
      <c r="H41" s="13" t="s">
        <v>39</v>
      </c>
      <c r="I41" s="13">
        <v>12</v>
      </c>
    </row>
    <row r="42" spans="7:14" x14ac:dyDescent="0.3">
      <c r="H42" s="13" t="s">
        <v>40</v>
      </c>
      <c r="I42" s="13">
        <v>0</v>
      </c>
      <c r="K42" t="str">
        <f>D12</f>
        <v>-8A-2B+h1=-16</v>
      </c>
      <c r="N42">
        <f>-8*I39-2*I40+I41</f>
        <v>-16</v>
      </c>
    </row>
    <row r="43" spans="7:14" x14ac:dyDescent="0.3">
      <c r="H43" s="13" t="s">
        <v>121</v>
      </c>
      <c r="I43" s="13">
        <v>0</v>
      </c>
      <c r="K43" t="str">
        <f t="shared" ref="K43:K44" si="19">D13</f>
        <v>-A-B+h2=-5</v>
      </c>
      <c r="N43">
        <f>-I39-I40+I42</f>
        <v>-5</v>
      </c>
    </row>
    <row r="44" spans="7:14" x14ac:dyDescent="0.3">
      <c r="H44" s="13" t="s">
        <v>41</v>
      </c>
      <c r="I44" s="13">
        <v>1200</v>
      </c>
      <c r="K44" t="str">
        <f t="shared" si="19"/>
        <v>-2A-7B+h3=-20</v>
      </c>
      <c r="N44">
        <f>-2*I39-7*I40+I43</f>
        <v>-20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3A05-969A-4264-BC24-705B1807D048}">
  <dimension ref="A1:U30"/>
  <sheetViews>
    <sheetView workbookViewId="0">
      <selection activeCell="U13" sqref="U13"/>
    </sheetView>
  </sheetViews>
  <sheetFormatPr baseColWidth="10" defaultRowHeight="14.4" x14ac:dyDescent="0.3"/>
  <cols>
    <col min="8" max="8" width="14" bestFit="1" customWidth="1"/>
    <col min="10" max="10" width="14.21875" customWidth="1"/>
    <col min="13" max="13" width="15.6640625" customWidth="1"/>
  </cols>
  <sheetData>
    <row r="1" spans="1:21" x14ac:dyDescent="0.3">
      <c r="A1" t="s">
        <v>76</v>
      </c>
      <c r="Q1" t="s">
        <v>191</v>
      </c>
    </row>
    <row r="2" spans="1:21" x14ac:dyDescent="0.3">
      <c r="A2" t="s">
        <v>77</v>
      </c>
      <c r="D2" s="14"/>
      <c r="E2" s="14"/>
      <c r="F2" s="14"/>
      <c r="G2" s="14"/>
      <c r="I2" s="14"/>
      <c r="J2" s="14"/>
      <c r="K2" s="14"/>
      <c r="L2" s="14"/>
    </row>
    <row r="3" spans="1:21" x14ac:dyDescent="0.3">
      <c r="A3" t="s">
        <v>78</v>
      </c>
      <c r="D3" s="14"/>
      <c r="E3" s="22"/>
      <c r="F3" s="22"/>
      <c r="G3" s="22"/>
      <c r="I3" s="14"/>
      <c r="J3" s="22"/>
      <c r="K3" s="22"/>
      <c r="L3" s="22"/>
      <c r="Q3" t="s">
        <v>169</v>
      </c>
      <c r="R3" t="s">
        <v>154</v>
      </c>
      <c r="T3" t="s">
        <v>155</v>
      </c>
    </row>
    <row r="4" spans="1:21" x14ac:dyDescent="0.3">
      <c r="A4" t="s">
        <v>79</v>
      </c>
      <c r="C4" t="s">
        <v>144</v>
      </c>
      <c r="D4" s="14"/>
      <c r="E4" s="22"/>
      <c r="F4" s="22"/>
      <c r="G4" s="22"/>
      <c r="H4" s="21" t="s">
        <v>80</v>
      </c>
      <c r="I4" s="21" t="s">
        <v>81</v>
      </c>
      <c r="J4" s="23" t="s">
        <v>20</v>
      </c>
      <c r="K4" s="23" t="s">
        <v>21</v>
      </c>
      <c r="L4" s="23" t="s">
        <v>22</v>
      </c>
      <c r="Q4" t="s">
        <v>170</v>
      </c>
      <c r="R4" t="s">
        <v>154</v>
      </c>
      <c r="T4" t="s">
        <v>155</v>
      </c>
    </row>
    <row r="5" spans="1:21" x14ac:dyDescent="0.3">
      <c r="A5" t="s">
        <v>5</v>
      </c>
      <c r="D5" s="14"/>
      <c r="E5" s="14"/>
      <c r="F5" s="14"/>
      <c r="G5" s="14" t="s">
        <v>20</v>
      </c>
      <c r="H5" s="14">
        <v>7</v>
      </c>
      <c r="I5" s="20">
        <v>10</v>
      </c>
      <c r="J5" s="14">
        <v>1</v>
      </c>
      <c r="K5" s="14">
        <v>0</v>
      </c>
      <c r="L5" s="14">
        <v>0</v>
      </c>
      <c r="M5" s="14">
        <v>700</v>
      </c>
      <c r="N5" s="5">
        <f>M5/I5</f>
        <v>70</v>
      </c>
      <c r="Q5" t="s">
        <v>192</v>
      </c>
      <c r="R5" t="s">
        <v>154</v>
      </c>
      <c r="S5">
        <v>0</v>
      </c>
      <c r="T5" t="s">
        <v>155</v>
      </c>
    </row>
    <row r="6" spans="1:21" x14ac:dyDescent="0.3">
      <c r="A6" t="s">
        <v>88</v>
      </c>
      <c r="C6" t="s">
        <v>141</v>
      </c>
      <c r="G6" s="14" t="s">
        <v>21</v>
      </c>
      <c r="H6" s="14">
        <v>10</v>
      </c>
      <c r="I6" s="20">
        <v>8</v>
      </c>
      <c r="J6" s="14">
        <v>0</v>
      </c>
      <c r="K6" s="14">
        <v>1</v>
      </c>
      <c r="L6" s="14">
        <v>0</v>
      </c>
      <c r="M6" s="14">
        <v>800</v>
      </c>
      <c r="N6" s="5">
        <f t="shared" ref="N6:N7" si="0">M6/I6</f>
        <v>100</v>
      </c>
      <c r="Q6" t="s">
        <v>172</v>
      </c>
      <c r="R6" t="s">
        <v>154</v>
      </c>
      <c r="T6" t="s">
        <v>155</v>
      </c>
      <c r="U6">
        <v>0</v>
      </c>
    </row>
    <row r="7" spans="1:21" x14ac:dyDescent="0.3">
      <c r="A7" t="s">
        <v>89</v>
      </c>
      <c r="C7" t="s">
        <v>142</v>
      </c>
      <c r="G7" s="14" t="s">
        <v>22</v>
      </c>
      <c r="H7" s="20">
        <v>6</v>
      </c>
      <c r="I7" s="20">
        <v>15</v>
      </c>
      <c r="J7" s="20">
        <v>0</v>
      </c>
      <c r="K7" s="20">
        <v>0</v>
      </c>
      <c r="L7" s="20">
        <v>1</v>
      </c>
      <c r="M7" s="20">
        <v>900</v>
      </c>
      <c r="N7" s="5">
        <f t="shared" si="0"/>
        <v>60</v>
      </c>
      <c r="Q7" t="s">
        <v>173</v>
      </c>
      <c r="R7" t="s">
        <v>154</v>
      </c>
      <c r="T7" t="s">
        <v>155</v>
      </c>
    </row>
    <row r="8" spans="1:21" x14ac:dyDescent="0.3">
      <c r="A8" t="s">
        <v>90</v>
      </c>
      <c r="C8" t="s">
        <v>143</v>
      </c>
      <c r="G8" s="14" t="s">
        <v>24</v>
      </c>
      <c r="H8" s="14">
        <v>-9000</v>
      </c>
      <c r="I8" s="20">
        <v>-10000</v>
      </c>
      <c r="J8" s="14">
        <v>0</v>
      </c>
      <c r="K8" s="14">
        <v>0</v>
      </c>
      <c r="L8" s="14">
        <v>0</v>
      </c>
      <c r="M8" s="14">
        <v>0</v>
      </c>
      <c r="Q8" t="s">
        <v>174</v>
      </c>
      <c r="R8" t="s">
        <v>154</v>
      </c>
      <c r="S8">
        <v>0</v>
      </c>
      <c r="T8" t="s">
        <v>155</v>
      </c>
    </row>
    <row r="9" spans="1:21" x14ac:dyDescent="0.3">
      <c r="A9" t="s">
        <v>91</v>
      </c>
      <c r="G9" s="14"/>
      <c r="Q9" t="s">
        <v>175</v>
      </c>
      <c r="R9" t="s">
        <v>154</v>
      </c>
      <c r="T9" t="s">
        <v>155</v>
      </c>
      <c r="U9">
        <v>0</v>
      </c>
    </row>
    <row r="10" spans="1:21" x14ac:dyDescent="0.3">
      <c r="F10" s="24" t="s">
        <v>145</v>
      </c>
      <c r="G10" s="14" t="s">
        <v>20</v>
      </c>
      <c r="H10" s="7">
        <f>-10*H12+H5</f>
        <v>3</v>
      </c>
      <c r="I10" s="7">
        <f t="shared" ref="I10:M10" si="1">-10*I12+I5</f>
        <v>0</v>
      </c>
      <c r="J10" s="7">
        <f t="shared" si="1"/>
        <v>1</v>
      </c>
      <c r="K10" s="7">
        <f t="shared" si="1"/>
        <v>0</v>
      </c>
      <c r="L10" s="7">
        <f t="shared" si="1"/>
        <v>-0.66666666666666663</v>
      </c>
      <c r="M10" s="7">
        <f t="shared" si="1"/>
        <v>100</v>
      </c>
      <c r="N10" s="17">
        <f>M10/H10</f>
        <v>33.333333333333336</v>
      </c>
      <c r="Q10" t="s">
        <v>176</v>
      </c>
      <c r="R10" t="s">
        <v>154</v>
      </c>
      <c r="S10">
        <v>0</v>
      </c>
      <c r="T10" t="s">
        <v>155</v>
      </c>
    </row>
    <row r="11" spans="1:21" x14ac:dyDescent="0.3">
      <c r="A11" s="14"/>
      <c r="B11" s="14" t="s">
        <v>85</v>
      </c>
      <c r="C11" s="14" t="s">
        <v>86</v>
      </c>
      <c r="D11" s="14" t="s">
        <v>87</v>
      </c>
      <c r="F11" s="24" t="s">
        <v>146</v>
      </c>
      <c r="G11" s="14" t="s">
        <v>21</v>
      </c>
      <c r="H11" s="7">
        <f>-8*H12+H6</f>
        <v>6.8</v>
      </c>
      <c r="I11" s="6">
        <f t="shared" ref="I11:M11" si="2">-8*I12+I6</f>
        <v>0</v>
      </c>
      <c r="J11" s="6">
        <f t="shared" si="2"/>
        <v>0</v>
      </c>
      <c r="K11" s="6">
        <f t="shared" si="2"/>
        <v>1</v>
      </c>
      <c r="L11" s="6">
        <f t="shared" si="2"/>
        <v>-0.53333333333333333</v>
      </c>
      <c r="M11" s="6">
        <f t="shared" si="2"/>
        <v>320</v>
      </c>
      <c r="N11" s="17">
        <f t="shared" ref="N11:N12" si="3">M11/H11</f>
        <v>47.058823529411768</v>
      </c>
      <c r="Q11" t="s">
        <v>177</v>
      </c>
      <c r="R11" t="s">
        <v>154</v>
      </c>
      <c r="T11" t="s">
        <v>155</v>
      </c>
      <c r="U11">
        <v>0</v>
      </c>
    </row>
    <row r="12" spans="1:21" x14ac:dyDescent="0.3">
      <c r="A12" s="14" t="s">
        <v>80</v>
      </c>
      <c r="B12" s="15">
        <v>7</v>
      </c>
      <c r="C12" s="15">
        <v>10</v>
      </c>
      <c r="D12" s="15">
        <v>6</v>
      </c>
      <c r="G12" s="14" t="s">
        <v>81</v>
      </c>
      <c r="H12" s="7">
        <f>H7/15</f>
        <v>0.4</v>
      </c>
      <c r="I12" s="6">
        <f t="shared" ref="I12:M12" si="4">I7/15</f>
        <v>1</v>
      </c>
      <c r="J12" s="6">
        <f t="shared" si="4"/>
        <v>0</v>
      </c>
      <c r="K12" s="6">
        <f t="shared" si="4"/>
        <v>0</v>
      </c>
      <c r="L12" s="6">
        <f t="shared" si="4"/>
        <v>6.6666666666666666E-2</v>
      </c>
      <c r="M12" s="6">
        <f t="shared" si="4"/>
        <v>60</v>
      </c>
      <c r="N12" s="17">
        <f t="shared" si="3"/>
        <v>150</v>
      </c>
      <c r="Q12" t="s">
        <v>178</v>
      </c>
      <c r="R12" t="s">
        <v>154</v>
      </c>
      <c r="S12">
        <v>0</v>
      </c>
      <c r="T12" t="s">
        <v>155</v>
      </c>
      <c r="U12">
        <v>0</v>
      </c>
    </row>
    <row r="13" spans="1:21" x14ac:dyDescent="0.3">
      <c r="A13" s="14" t="s">
        <v>81</v>
      </c>
      <c r="B13" s="15">
        <v>10</v>
      </c>
      <c r="C13" s="15">
        <v>8</v>
      </c>
      <c r="D13" s="15">
        <v>15</v>
      </c>
      <c r="F13" s="14" t="s">
        <v>147</v>
      </c>
      <c r="G13" s="14" t="s">
        <v>24</v>
      </c>
      <c r="H13" s="7">
        <f>10000*H12+H8</f>
        <v>-5000</v>
      </c>
      <c r="I13" s="6">
        <f t="shared" ref="I13:M13" si="5">10000*I12+I8</f>
        <v>0</v>
      </c>
      <c r="J13" s="6">
        <f t="shared" si="5"/>
        <v>0</v>
      </c>
      <c r="K13" s="6">
        <f t="shared" si="5"/>
        <v>0</v>
      </c>
      <c r="L13" s="6">
        <f t="shared" si="5"/>
        <v>666.66666666666663</v>
      </c>
      <c r="M13" s="6">
        <f t="shared" si="5"/>
        <v>600000</v>
      </c>
    </row>
    <row r="14" spans="1:21" x14ac:dyDescent="0.3">
      <c r="A14" s="14"/>
      <c r="B14" s="14" t="s">
        <v>82</v>
      </c>
      <c r="C14" s="14" t="s">
        <v>83</v>
      </c>
      <c r="D14" s="14" t="s">
        <v>84</v>
      </c>
    </row>
    <row r="15" spans="1:21" x14ac:dyDescent="0.3">
      <c r="G15" s="14" t="s">
        <v>80</v>
      </c>
      <c r="H15" s="6">
        <f>H10/3</f>
        <v>1</v>
      </c>
      <c r="I15" s="6">
        <f t="shared" ref="I15:M15" si="6">I10/3</f>
        <v>0</v>
      </c>
      <c r="J15" s="6">
        <f t="shared" si="6"/>
        <v>0.33333333333333331</v>
      </c>
      <c r="K15" s="6">
        <f t="shared" si="6"/>
        <v>0</v>
      </c>
      <c r="L15" s="7">
        <f t="shared" si="6"/>
        <v>-0.22222222222222221</v>
      </c>
      <c r="M15" s="6">
        <f t="shared" si="6"/>
        <v>33.333333333333336</v>
      </c>
      <c r="N15" s="17">
        <f>M15/L15</f>
        <v>-150.00000000000003</v>
      </c>
    </row>
    <row r="16" spans="1:21" x14ac:dyDescent="0.3">
      <c r="F16" s="1" t="s">
        <v>148</v>
      </c>
      <c r="G16" s="14" t="s">
        <v>21</v>
      </c>
      <c r="H16" s="7">
        <f>-34/5*H15+H11</f>
        <v>0</v>
      </c>
      <c r="I16" s="7">
        <f t="shared" ref="I16:M16" si="7">-34/5*I15+I11</f>
        <v>0</v>
      </c>
      <c r="J16" s="7">
        <f t="shared" si="7"/>
        <v>-2.2666666666666666</v>
      </c>
      <c r="K16" s="7">
        <f t="shared" si="7"/>
        <v>1</v>
      </c>
      <c r="L16" s="7">
        <f t="shared" si="7"/>
        <v>0.97777777777777775</v>
      </c>
      <c r="M16" s="7">
        <f t="shared" si="7"/>
        <v>93.333333333333314</v>
      </c>
      <c r="N16" s="17">
        <f t="shared" ref="N16:N17" si="8">M16/L16</f>
        <v>95.454545454545439</v>
      </c>
    </row>
    <row r="17" spans="6:14" x14ac:dyDescent="0.3">
      <c r="F17" s="1" t="s">
        <v>149</v>
      </c>
      <c r="G17" s="14" t="s">
        <v>81</v>
      </c>
      <c r="H17" s="6">
        <f>-2/5*H15+H12</f>
        <v>0</v>
      </c>
      <c r="I17" s="6">
        <f t="shared" ref="I17:M17" si="9">-2/5*I15+I12</f>
        <v>1</v>
      </c>
      <c r="J17" s="6">
        <f t="shared" si="9"/>
        <v>-0.13333333333333333</v>
      </c>
      <c r="K17" s="6">
        <f t="shared" si="9"/>
        <v>0</v>
      </c>
      <c r="L17" s="7">
        <f t="shared" si="9"/>
        <v>0.15555555555555556</v>
      </c>
      <c r="M17" s="6">
        <f t="shared" si="9"/>
        <v>46.666666666666664</v>
      </c>
      <c r="N17" s="17">
        <f t="shared" si="8"/>
        <v>300</v>
      </c>
    </row>
    <row r="18" spans="6:14" x14ac:dyDescent="0.3">
      <c r="F18" t="s">
        <v>150</v>
      </c>
      <c r="G18" s="14" t="s">
        <v>24</v>
      </c>
      <c r="H18" s="6">
        <f>5000*H15+H13</f>
        <v>0</v>
      </c>
      <c r="I18" s="6">
        <f t="shared" ref="I18:M18" si="10">5000*I15+I13</f>
        <v>0</v>
      </c>
      <c r="J18" s="6">
        <f t="shared" si="10"/>
        <v>1666.6666666666665</v>
      </c>
      <c r="K18" s="6">
        <f t="shared" si="10"/>
        <v>0</v>
      </c>
      <c r="L18" s="7">
        <f t="shared" si="10"/>
        <v>-444.44444444444446</v>
      </c>
      <c r="M18" s="6">
        <f t="shared" si="10"/>
        <v>766666.66666666674</v>
      </c>
    </row>
    <row r="20" spans="6:14" x14ac:dyDescent="0.3">
      <c r="F20" t="s">
        <v>151</v>
      </c>
      <c r="G20" s="14" t="s">
        <v>80</v>
      </c>
      <c r="H20" s="6">
        <f>2/9*H21+H15</f>
        <v>1</v>
      </c>
      <c r="I20" s="6">
        <f t="shared" ref="I20:M20" si="11">2/9*I21+I15</f>
        <v>0</v>
      </c>
      <c r="J20" s="6">
        <f t="shared" si="11"/>
        <v>-0.18181818181818171</v>
      </c>
      <c r="K20" s="6">
        <f t="shared" si="11"/>
        <v>0.22727272727272727</v>
      </c>
      <c r="L20" s="6">
        <f t="shared" si="11"/>
        <v>0</v>
      </c>
      <c r="M20" s="6">
        <f t="shared" si="11"/>
        <v>54.545454545454547</v>
      </c>
    </row>
    <row r="21" spans="6:14" x14ac:dyDescent="0.3">
      <c r="G21" s="14" t="s">
        <v>22</v>
      </c>
      <c r="H21" s="6">
        <f>45/44*H16</f>
        <v>0</v>
      </c>
      <c r="I21" s="6">
        <f t="shared" ref="I21:M21" si="12">45/44*I16</f>
        <v>0</v>
      </c>
      <c r="J21" s="6">
        <f t="shared" si="12"/>
        <v>-2.3181818181818179</v>
      </c>
      <c r="K21" s="6">
        <f t="shared" si="12"/>
        <v>1.0227272727272727</v>
      </c>
      <c r="L21" s="6">
        <f t="shared" si="12"/>
        <v>1</v>
      </c>
      <c r="M21" s="6">
        <f t="shared" si="12"/>
        <v>95.454545454545439</v>
      </c>
    </row>
    <row r="22" spans="6:14" x14ac:dyDescent="0.3">
      <c r="F22" s="1" t="s">
        <v>152</v>
      </c>
      <c r="G22" s="14" t="s">
        <v>81</v>
      </c>
      <c r="H22" s="6">
        <f>-7/45*H21+H17</f>
        <v>0</v>
      </c>
      <c r="I22" s="6">
        <f t="shared" ref="I22:M22" si="13">-7/45*I21+I17</f>
        <v>1</v>
      </c>
      <c r="J22" s="6">
        <f t="shared" si="13"/>
        <v>0.22727272727272721</v>
      </c>
      <c r="K22" s="6">
        <f t="shared" si="13"/>
        <v>-0.15909090909090909</v>
      </c>
      <c r="L22" s="6">
        <f t="shared" si="13"/>
        <v>0</v>
      </c>
      <c r="M22" s="6">
        <f t="shared" si="13"/>
        <v>31.81818181818182</v>
      </c>
    </row>
    <row r="23" spans="6:14" x14ac:dyDescent="0.3">
      <c r="F23" t="s">
        <v>153</v>
      </c>
      <c r="G23" s="14" t="s">
        <v>24</v>
      </c>
      <c r="H23" s="6">
        <f>-(L18)*H21+H18</f>
        <v>0</v>
      </c>
      <c r="I23" s="6">
        <f>-(L18)*I21+I18</f>
        <v>0</v>
      </c>
      <c r="J23" s="6">
        <f>-(L18)*J21+J18</f>
        <v>636.36363636363626</v>
      </c>
      <c r="K23" s="6">
        <f>-(L18)*K21+K18</f>
        <v>454.54545454545456</v>
      </c>
      <c r="L23" s="6">
        <f>-(L18)*L21+L18</f>
        <v>0</v>
      </c>
      <c r="M23" s="6">
        <f>-(L18)*M21+M18</f>
        <v>809090.90909090918</v>
      </c>
    </row>
    <row r="25" spans="6:14" x14ac:dyDescent="0.3">
      <c r="G25" s="15" t="s">
        <v>154</v>
      </c>
      <c r="H25" s="18">
        <f>M20</f>
        <v>54.545454545454547</v>
      </c>
      <c r="J25" t="s">
        <v>42</v>
      </c>
    </row>
    <row r="26" spans="6:14" x14ac:dyDescent="0.3">
      <c r="G26" s="15" t="s">
        <v>155</v>
      </c>
      <c r="H26" s="18">
        <f>M22</f>
        <v>31.81818181818182</v>
      </c>
      <c r="J26" t="str">
        <f>C4</f>
        <v>Máx Z= 9000l+10000e+0h1+0h2+0h3</v>
      </c>
      <c r="M26" s="6">
        <f>9000*H25+10000*H26+0*H27+0*H28+0*H29</f>
        <v>809090.90909090918</v>
      </c>
    </row>
    <row r="27" spans="6:14" x14ac:dyDescent="0.3">
      <c r="G27" s="15" t="s">
        <v>39</v>
      </c>
      <c r="H27" s="13">
        <v>0</v>
      </c>
    </row>
    <row r="28" spans="6:14" x14ac:dyDescent="0.3">
      <c r="G28" s="15" t="s">
        <v>40</v>
      </c>
      <c r="H28" s="13">
        <v>0</v>
      </c>
      <c r="J28" t="str">
        <f>C6</f>
        <v>7l+10e+h1=700</v>
      </c>
      <c r="M28" s="6">
        <f>7*H25+10*H26+H27</f>
        <v>700</v>
      </c>
    </row>
    <row r="29" spans="6:14" x14ac:dyDescent="0.3">
      <c r="G29" s="15" t="s">
        <v>121</v>
      </c>
      <c r="H29" s="18">
        <f>M21</f>
        <v>95.454545454545439</v>
      </c>
      <c r="J29" t="str">
        <f t="shared" ref="J29:J30" si="14">C7</f>
        <v>10l+8e+h2=800</v>
      </c>
      <c r="M29" s="6">
        <f>10*H25+8*H26+H28</f>
        <v>800</v>
      </c>
    </row>
    <row r="30" spans="6:14" x14ac:dyDescent="0.3">
      <c r="G30" s="15" t="s">
        <v>41</v>
      </c>
      <c r="H30" s="18">
        <f>M23</f>
        <v>809090.90909090918</v>
      </c>
      <c r="J30" t="str">
        <f t="shared" si="14"/>
        <v>6l+15e+h3=900</v>
      </c>
      <c r="M30" s="6">
        <f>6*H25+15*H26+H29</f>
        <v>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DDA9-B56F-46EB-8445-3EA381F71CF9}">
  <dimension ref="A1:R39"/>
  <sheetViews>
    <sheetView topLeftCell="B14" workbookViewId="0">
      <selection activeCell="Q35" sqref="Q35"/>
    </sheetView>
  </sheetViews>
  <sheetFormatPr baseColWidth="10" defaultRowHeight="14.4" x14ac:dyDescent="0.3"/>
  <cols>
    <col min="18" max="18" width="13.21875" customWidth="1"/>
  </cols>
  <sheetData>
    <row r="1" spans="1:18" x14ac:dyDescent="0.3">
      <c r="A1" t="s">
        <v>92</v>
      </c>
    </row>
    <row r="2" spans="1:18" x14ac:dyDescent="0.3">
      <c r="A2" t="s">
        <v>97</v>
      </c>
    </row>
    <row r="3" spans="1:18" x14ac:dyDescent="0.3">
      <c r="A3" t="s">
        <v>98</v>
      </c>
    </row>
    <row r="4" spans="1:18" x14ac:dyDescent="0.3">
      <c r="A4" t="s">
        <v>99</v>
      </c>
    </row>
    <row r="5" spans="1:18" x14ac:dyDescent="0.3">
      <c r="A5" t="s">
        <v>100</v>
      </c>
    </row>
    <row r="6" spans="1:18" x14ac:dyDescent="0.3">
      <c r="A6" t="s">
        <v>101</v>
      </c>
      <c r="D6" t="s">
        <v>160</v>
      </c>
      <c r="I6" t="s">
        <v>16</v>
      </c>
      <c r="J6">
        <v>160</v>
      </c>
      <c r="K6">
        <v>80</v>
      </c>
      <c r="L6">
        <v>40</v>
      </c>
      <c r="M6">
        <v>120</v>
      </c>
      <c r="N6">
        <v>0</v>
      </c>
      <c r="O6">
        <v>0</v>
      </c>
      <c r="P6">
        <v>0</v>
      </c>
      <c r="Q6">
        <v>0</v>
      </c>
    </row>
    <row r="7" spans="1:18" x14ac:dyDescent="0.3">
      <c r="A7" t="s">
        <v>5</v>
      </c>
      <c r="J7" s="10" t="s">
        <v>64</v>
      </c>
      <c r="K7" s="10" t="s">
        <v>65</v>
      </c>
      <c r="L7" s="10" t="s">
        <v>161</v>
      </c>
      <c r="M7" s="10" t="s">
        <v>162</v>
      </c>
      <c r="N7" s="10" t="s">
        <v>20</v>
      </c>
      <c r="O7" s="10" t="s">
        <v>21</v>
      </c>
      <c r="P7" s="10" t="s">
        <v>22</v>
      </c>
      <c r="Q7" s="10" t="s">
        <v>23</v>
      </c>
    </row>
    <row r="8" spans="1:18" x14ac:dyDescent="0.3">
      <c r="A8" t="s">
        <v>102</v>
      </c>
      <c r="D8" s="1" t="s">
        <v>156</v>
      </c>
      <c r="I8" t="s">
        <v>20</v>
      </c>
      <c r="J8" s="6">
        <v>-3</v>
      </c>
      <c r="K8" s="7">
        <v>-1</v>
      </c>
      <c r="L8" s="6">
        <v>-2</v>
      </c>
      <c r="M8" s="6">
        <v>-3</v>
      </c>
      <c r="N8" s="6">
        <v>1</v>
      </c>
      <c r="O8" s="6">
        <v>0</v>
      </c>
      <c r="P8" s="6">
        <v>0</v>
      </c>
      <c r="Q8" s="6">
        <v>0</v>
      </c>
      <c r="R8" s="6">
        <v>-50</v>
      </c>
    </row>
    <row r="9" spans="1:18" x14ac:dyDescent="0.3">
      <c r="A9" t="s">
        <v>103</v>
      </c>
      <c r="D9" s="1" t="s">
        <v>157</v>
      </c>
      <c r="I9" t="s">
        <v>21</v>
      </c>
      <c r="J9" s="6">
        <v>-2</v>
      </c>
      <c r="K9" s="7">
        <v>-1</v>
      </c>
      <c r="L9" s="6">
        <v>-1</v>
      </c>
      <c r="M9" s="6">
        <v>-2</v>
      </c>
      <c r="N9" s="6">
        <v>0</v>
      </c>
      <c r="O9" s="6">
        <v>1</v>
      </c>
      <c r="P9" s="6">
        <v>0</v>
      </c>
      <c r="Q9" s="6">
        <v>0</v>
      </c>
      <c r="R9" s="6">
        <v>-36</v>
      </c>
    </row>
    <row r="10" spans="1:18" x14ac:dyDescent="0.3">
      <c r="A10" t="s">
        <v>104</v>
      </c>
      <c r="D10" s="1" t="s">
        <v>158</v>
      </c>
      <c r="I10" t="s">
        <v>22</v>
      </c>
      <c r="J10" s="6">
        <v>-1</v>
      </c>
      <c r="K10" s="7">
        <v>-2</v>
      </c>
      <c r="L10" s="6">
        <v>-2</v>
      </c>
      <c r="M10" s="6">
        <v>-3</v>
      </c>
      <c r="N10" s="6">
        <v>0</v>
      </c>
      <c r="O10" s="6">
        <v>0</v>
      </c>
      <c r="P10" s="6">
        <v>1</v>
      </c>
      <c r="Q10" s="6">
        <v>0</v>
      </c>
      <c r="R10" s="6">
        <v>-22</v>
      </c>
    </row>
    <row r="11" spans="1:18" x14ac:dyDescent="0.3">
      <c r="A11" t="s">
        <v>105</v>
      </c>
      <c r="D11" s="1" t="s">
        <v>159</v>
      </c>
      <c r="I11" t="s">
        <v>23</v>
      </c>
      <c r="J11" s="7">
        <v>-4</v>
      </c>
      <c r="K11" s="7">
        <v>-3</v>
      </c>
      <c r="L11" s="7">
        <v>-1</v>
      </c>
      <c r="M11" s="7">
        <v>-1</v>
      </c>
      <c r="N11" s="7">
        <v>0</v>
      </c>
      <c r="O11" s="7">
        <v>0</v>
      </c>
      <c r="P11" s="7">
        <v>0</v>
      </c>
      <c r="Q11" s="7">
        <v>1</v>
      </c>
      <c r="R11" s="7">
        <v>-120</v>
      </c>
    </row>
    <row r="12" spans="1:18" x14ac:dyDescent="0.3">
      <c r="A12" t="s">
        <v>106</v>
      </c>
      <c r="I12" t="s">
        <v>24</v>
      </c>
      <c r="J12" s="6">
        <v>0</v>
      </c>
      <c r="K12" s="7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x14ac:dyDescent="0.3">
      <c r="I13" t="s">
        <v>25</v>
      </c>
      <c r="J13" s="6">
        <f>J6-J12</f>
        <v>160</v>
      </c>
      <c r="K13" s="7">
        <f t="shared" ref="K13:Q13" si="0">K6-K12</f>
        <v>80</v>
      </c>
      <c r="L13" s="6">
        <f t="shared" si="0"/>
        <v>40</v>
      </c>
      <c r="M13" s="6">
        <f t="shared" si="0"/>
        <v>120</v>
      </c>
      <c r="N13" s="6">
        <f t="shared" si="0"/>
        <v>0</v>
      </c>
      <c r="O13" s="6">
        <f t="shared" si="0"/>
        <v>0</v>
      </c>
      <c r="P13" s="6">
        <f t="shared" si="0"/>
        <v>0</v>
      </c>
      <c r="Q13" s="6">
        <f t="shared" si="0"/>
        <v>0</v>
      </c>
      <c r="R13" s="6"/>
    </row>
    <row r="14" spans="1:18" x14ac:dyDescent="0.3">
      <c r="J14" s="17">
        <f>J13/J11</f>
        <v>-40</v>
      </c>
      <c r="K14" s="17">
        <f t="shared" ref="K14:Q14" si="1">K13/K11</f>
        <v>-26.666666666666668</v>
      </c>
      <c r="L14" s="17">
        <f t="shared" si="1"/>
        <v>-40</v>
      </c>
      <c r="M14" s="17">
        <f t="shared" si="1"/>
        <v>-120</v>
      </c>
      <c r="N14" s="17" t="e">
        <f t="shared" si="1"/>
        <v>#DIV/0!</v>
      </c>
      <c r="O14" s="17" t="e">
        <f t="shared" si="1"/>
        <v>#DIV/0!</v>
      </c>
      <c r="P14" s="17" t="e">
        <f t="shared" si="1"/>
        <v>#DIV/0!</v>
      </c>
      <c r="Q14" s="17">
        <f t="shared" si="1"/>
        <v>0</v>
      </c>
      <c r="R14" s="6"/>
    </row>
    <row r="16" spans="1:18" x14ac:dyDescent="0.3">
      <c r="H16" t="s">
        <v>163</v>
      </c>
      <c r="I16" t="s">
        <v>20</v>
      </c>
      <c r="J16" s="7">
        <f>J19+J8</f>
        <v>-1.6666666666666667</v>
      </c>
      <c r="K16" s="7">
        <f t="shared" ref="K16:R16" si="2">K19+K8</f>
        <v>0</v>
      </c>
      <c r="L16" s="7">
        <f t="shared" si="2"/>
        <v>-1.6666666666666667</v>
      </c>
      <c r="M16" s="7">
        <f t="shared" si="2"/>
        <v>-2.6666666666666665</v>
      </c>
      <c r="N16" s="7">
        <f t="shared" si="2"/>
        <v>1</v>
      </c>
      <c r="O16" s="7">
        <f t="shared" si="2"/>
        <v>0</v>
      </c>
      <c r="P16" s="7">
        <f t="shared" si="2"/>
        <v>0</v>
      </c>
      <c r="Q16" s="7">
        <f t="shared" si="2"/>
        <v>-0.33333333333333331</v>
      </c>
      <c r="R16" s="7">
        <f t="shared" si="2"/>
        <v>-10</v>
      </c>
    </row>
    <row r="17" spans="8:18" x14ac:dyDescent="0.3">
      <c r="H17" t="s">
        <v>136</v>
      </c>
      <c r="I17" t="s">
        <v>21</v>
      </c>
      <c r="J17" s="6">
        <f>J19+J9</f>
        <v>-0.66666666666666674</v>
      </c>
      <c r="K17" s="6">
        <f t="shared" ref="K17:R17" si="3">K19+K9</f>
        <v>0</v>
      </c>
      <c r="L17" s="7">
        <f t="shared" si="3"/>
        <v>-0.66666666666666674</v>
      </c>
      <c r="M17" s="6">
        <f t="shared" si="3"/>
        <v>-1.6666666666666667</v>
      </c>
      <c r="N17" s="6">
        <f t="shared" si="3"/>
        <v>0</v>
      </c>
      <c r="O17" s="6">
        <f t="shared" si="3"/>
        <v>1</v>
      </c>
      <c r="P17" s="6">
        <f t="shared" si="3"/>
        <v>0</v>
      </c>
      <c r="Q17" s="6">
        <f t="shared" si="3"/>
        <v>-0.33333333333333331</v>
      </c>
      <c r="R17" s="6">
        <f t="shared" si="3"/>
        <v>4</v>
      </c>
    </row>
    <row r="18" spans="8:18" x14ac:dyDescent="0.3">
      <c r="H18" t="s">
        <v>164</v>
      </c>
      <c r="I18" t="s">
        <v>22</v>
      </c>
      <c r="J18" s="6">
        <f>2*J19+J10</f>
        <v>1.6666666666666665</v>
      </c>
      <c r="K18" s="6">
        <f t="shared" ref="K18:R18" si="4">2*K19+K10</f>
        <v>0</v>
      </c>
      <c r="L18" s="7">
        <f t="shared" si="4"/>
        <v>-1.3333333333333335</v>
      </c>
      <c r="M18" s="6">
        <f t="shared" si="4"/>
        <v>-2.3333333333333335</v>
      </c>
      <c r="N18" s="6">
        <f t="shared" si="4"/>
        <v>0</v>
      </c>
      <c r="O18" s="6">
        <f t="shared" si="4"/>
        <v>0</v>
      </c>
      <c r="P18" s="6">
        <f t="shared" si="4"/>
        <v>1</v>
      </c>
      <c r="Q18" s="6">
        <f t="shared" si="4"/>
        <v>-0.66666666666666663</v>
      </c>
      <c r="R18" s="6">
        <f t="shared" si="4"/>
        <v>58</v>
      </c>
    </row>
    <row r="19" spans="8:18" x14ac:dyDescent="0.3">
      <c r="I19" t="s">
        <v>65</v>
      </c>
      <c r="J19" s="6">
        <f>J11/-3</f>
        <v>1.3333333333333333</v>
      </c>
      <c r="K19" s="6">
        <f t="shared" ref="K19:R19" si="5">K11/-3</f>
        <v>1</v>
      </c>
      <c r="L19" s="7">
        <f t="shared" si="5"/>
        <v>0.33333333333333331</v>
      </c>
      <c r="M19" s="6">
        <f t="shared" si="5"/>
        <v>0.33333333333333331</v>
      </c>
      <c r="N19" s="6">
        <f t="shared" si="5"/>
        <v>0</v>
      </c>
      <c r="O19" s="6">
        <f t="shared" si="5"/>
        <v>0</v>
      </c>
      <c r="P19" s="6">
        <f t="shared" si="5"/>
        <v>0</v>
      </c>
      <c r="Q19" s="6">
        <f t="shared" si="5"/>
        <v>-0.33333333333333331</v>
      </c>
      <c r="R19" s="6">
        <f t="shared" si="5"/>
        <v>40</v>
      </c>
    </row>
    <row r="20" spans="8:18" x14ac:dyDescent="0.3">
      <c r="I20" t="s">
        <v>24</v>
      </c>
      <c r="J20" s="6">
        <f>80*J19</f>
        <v>106.66666666666666</v>
      </c>
      <c r="K20" s="6">
        <f t="shared" ref="K20:R20" si="6">80*K19</f>
        <v>80</v>
      </c>
      <c r="L20" s="7">
        <f t="shared" si="6"/>
        <v>26.666666666666664</v>
      </c>
      <c r="M20" s="6">
        <f t="shared" si="6"/>
        <v>26.666666666666664</v>
      </c>
      <c r="N20" s="6">
        <f t="shared" si="6"/>
        <v>0</v>
      </c>
      <c r="O20" s="6">
        <f t="shared" si="6"/>
        <v>0</v>
      </c>
      <c r="P20" s="6">
        <f t="shared" si="6"/>
        <v>0</v>
      </c>
      <c r="Q20" s="6">
        <f t="shared" si="6"/>
        <v>-26.666666666666664</v>
      </c>
      <c r="R20" s="6">
        <f t="shared" si="6"/>
        <v>3200</v>
      </c>
    </row>
    <row r="21" spans="8:18" x14ac:dyDescent="0.3">
      <c r="I21" t="s">
        <v>25</v>
      </c>
      <c r="J21" s="6">
        <f>J6-J20</f>
        <v>53.333333333333343</v>
      </c>
      <c r="K21" s="6">
        <f t="shared" ref="K21:Q21" si="7">K6-K20</f>
        <v>0</v>
      </c>
      <c r="L21" s="7">
        <f t="shared" si="7"/>
        <v>13.333333333333336</v>
      </c>
      <c r="M21" s="6">
        <f t="shared" si="7"/>
        <v>93.333333333333343</v>
      </c>
      <c r="N21" s="6">
        <f t="shared" si="7"/>
        <v>0</v>
      </c>
      <c r="O21" s="6">
        <f t="shared" si="7"/>
        <v>0</v>
      </c>
      <c r="P21" s="6">
        <f t="shared" si="7"/>
        <v>0</v>
      </c>
      <c r="Q21" s="6">
        <f t="shared" si="7"/>
        <v>26.666666666666664</v>
      </c>
    </row>
    <row r="22" spans="8:18" x14ac:dyDescent="0.3">
      <c r="J22" s="17">
        <f>J21/J16</f>
        <v>-32.000000000000007</v>
      </c>
      <c r="K22" s="17" t="e">
        <f t="shared" ref="K22:Q22" si="8">K21/K16</f>
        <v>#DIV/0!</v>
      </c>
      <c r="L22" s="17">
        <f t="shared" si="8"/>
        <v>-8.0000000000000018</v>
      </c>
      <c r="M22" s="17">
        <f t="shared" si="8"/>
        <v>-35.000000000000007</v>
      </c>
      <c r="N22" s="17">
        <f t="shared" si="8"/>
        <v>0</v>
      </c>
      <c r="O22" s="17" t="e">
        <f t="shared" si="8"/>
        <v>#DIV/0!</v>
      </c>
      <c r="P22" s="17" t="e">
        <f t="shared" si="8"/>
        <v>#DIV/0!</v>
      </c>
      <c r="Q22" s="17">
        <f t="shared" si="8"/>
        <v>-80</v>
      </c>
    </row>
    <row r="24" spans="8:18" x14ac:dyDescent="0.3">
      <c r="I24" t="s">
        <v>161</v>
      </c>
      <c r="J24" s="6">
        <f>-3/5*J16</f>
        <v>1</v>
      </c>
      <c r="K24" s="6">
        <f t="shared" ref="K24:R24" si="9">-3/5*K16</f>
        <v>0</v>
      </c>
      <c r="L24" s="6">
        <f t="shared" si="9"/>
        <v>1</v>
      </c>
      <c r="M24" s="6">
        <f t="shared" si="9"/>
        <v>1.5999999999999999</v>
      </c>
      <c r="N24" s="6">
        <f t="shared" si="9"/>
        <v>-0.6</v>
      </c>
      <c r="O24" s="6">
        <f t="shared" si="9"/>
        <v>0</v>
      </c>
      <c r="P24" s="6">
        <f t="shared" si="9"/>
        <v>0</v>
      </c>
      <c r="Q24" s="6">
        <f t="shared" si="9"/>
        <v>0.19999999999999998</v>
      </c>
      <c r="R24" s="6">
        <f t="shared" si="9"/>
        <v>6</v>
      </c>
    </row>
    <row r="25" spans="8:18" x14ac:dyDescent="0.3">
      <c r="H25" t="s">
        <v>165</v>
      </c>
      <c r="I25" t="s">
        <v>21</v>
      </c>
      <c r="J25" s="6">
        <f>2/3*J24+J17</f>
        <v>0</v>
      </c>
      <c r="K25" s="6">
        <f t="shared" ref="K25:R25" si="10">2/3*K24+K17</f>
        <v>0</v>
      </c>
      <c r="L25" s="6">
        <f t="shared" si="10"/>
        <v>0</v>
      </c>
      <c r="M25" s="6">
        <f t="shared" si="10"/>
        <v>-0.60000000000000031</v>
      </c>
      <c r="N25" s="6">
        <f t="shared" si="10"/>
        <v>-0.39999999999999997</v>
      </c>
      <c r="O25" s="6">
        <f t="shared" si="10"/>
        <v>1</v>
      </c>
      <c r="P25" s="6">
        <f t="shared" si="10"/>
        <v>0</v>
      </c>
      <c r="Q25" s="6">
        <f t="shared" si="10"/>
        <v>-0.2</v>
      </c>
      <c r="R25" s="6">
        <f t="shared" si="10"/>
        <v>8</v>
      </c>
    </row>
    <row r="26" spans="8:18" x14ac:dyDescent="0.3">
      <c r="H26" t="s">
        <v>166</v>
      </c>
      <c r="I26" t="s">
        <v>22</v>
      </c>
      <c r="J26" s="6">
        <f>4/3*J24+J18</f>
        <v>3</v>
      </c>
      <c r="K26" s="6">
        <f t="shared" ref="K26:R26" si="11">4/3*K24+K18</f>
        <v>0</v>
      </c>
      <c r="L26" s="6">
        <f t="shared" si="11"/>
        <v>0</v>
      </c>
      <c r="M26" s="6">
        <f t="shared" si="11"/>
        <v>-0.20000000000000062</v>
      </c>
      <c r="N26" s="6">
        <f t="shared" si="11"/>
        <v>-0.79999999999999993</v>
      </c>
      <c r="O26" s="6">
        <f t="shared" si="11"/>
        <v>0</v>
      </c>
      <c r="P26" s="6">
        <f t="shared" si="11"/>
        <v>1</v>
      </c>
      <c r="Q26" s="6">
        <f t="shared" si="11"/>
        <v>-0.4</v>
      </c>
      <c r="R26" s="6">
        <f t="shared" si="11"/>
        <v>66</v>
      </c>
    </row>
    <row r="27" spans="8:18" x14ac:dyDescent="0.3">
      <c r="H27" s="1" t="s">
        <v>167</v>
      </c>
      <c r="I27" t="s">
        <v>65</v>
      </c>
      <c r="J27" s="6">
        <f>-1/3*J24+J19</f>
        <v>1</v>
      </c>
      <c r="K27" s="6">
        <f t="shared" ref="K27:R27" si="12">-1/3*K24+K19</f>
        <v>1</v>
      </c>
      <c r="L27" s="6">
        <f t="shared" si="12"/>
        <v>0</v>
      </c>
      <c r="M27" s="6">
        <f t="shared" si="12"/>
        <v>-0.1999999999999999</v>
      </c>
      <c r="N27" s="6">
        <f t="shared" si="12"/>
        <v>0.19999999999999998</v>
      </c>
      <c r="O27" s="6">
        <f t="shared" si="12"/>
        <v>0</v>
      </c>
      <c r="P27" s="6">
        <f t="shared" si="12"/>
        <v>0</v>
      </c>
      <c r="Q27" s="6">
        <f t="shared" si="12"/>
        <v>-0.39999999999999997</v>
      </c>
      <c r="R27" s="6">
        <f t="shared" si="12"/>
        <v>38</v>
      </c>
    </row>
    <row r="28" spans="8:18" x14ac:dyDescent="0.3">
      <c r="I28" t="s">
        <v>24</v>
      </c>
      <c r="J28" s="6">
        <f>80*J27+40*J24</f>
        <v>120</v>
      </c>
      <c r="K28" s="6">
        <f t="shared" ref="K28:R28" si="13">80*K27+40*K24</f>
        <v>80</v>
      </c>
      <c r="L28" s="6">
        <f t="shared" si="13"/>
        <v>40</v>
      </c>
      <c r="M28" s="6">
        <f t="shared" si="13"/>
        <v>48</v>
      </c>
      <c r="N28" s="6">
        <f t="shared" si="13"/>
        <v>-8.0000000000000018</v>
      </c>
      <c r="O28" s="6">
        <f t="shared" si="13"/>
        <v>0</v>
      </c>
      <c r="P28" s="6">
        <f t="shared" si="13"/>
        <v>0</v>
      </c>
      <c r="Q28" s="6">
        <f t="shared" si="13"/>
        <v>-23.999999999999996</v>
      </c>
      <c r="R28" s="6">
        <f t="shared" si="13"/>
        <v>3280</v>
      </c>
    </row>
    <row r="29" spans="8:18" x14ac:dyDescent="0.3">
      <c r="I29" t="s">
        <v>25</v>
      </c>
      <c r="J29" s="6">
        <f>J6-J28</f>
        <v>40</v>
      </c>
      <c r="K29" s="6">
        <f t="shared" ref="K29:Q29" si="14">K6-K28</f>
        <v>0</v>
      </c>
      <c r="L29" s="6">
        <f t="shared" si="14"/>
        <v>0</v>
      </c>
      <c r="M29" s="6">
        <f t="shared" si="14"/>
        <v>72</v>
      </c>
      <c r="N29" s="6">
        <f t="shared" si="14"/>
        <v>8.0000000000000018</v>
      </c>
      <c r="O29" s="6">
        <f t="shared" si="14"/>
        <v>0</v>
      </c>
      <c r="P29" s="6">
        <f t="shared" si="14"/>
        <v>0</v>
      </c>
      <c r="Q29" s="6">
        <f t="shared" si="14"/>
        <v>23.999999999999996</v>
      </c>
    </row>
    <row r="31" spans="8:18" x14ac:dyDescent="0.3">
      <c r="I31" s="13" t="s">
        <v>93</v>
      </c>
      <c r="J31" s="13">
        <v>0</v>
      </c>
      <c r="L31" t="s">
        <v>42</v>
      </c>
    </row>
    <row r="32" spans="8:18" x14ac:dyDescent="0.3">
      <c r="I32" s="13" t="s">
        <v>94</v>
      </c>
      <c r="J32" s="13">
        <v>38</v>
      </c>
      <c r="L32" t="str">
        <f>D6</f>
        <v>Mín Z= 160A+80B+40C+120D+0h1+0h2+0h3+0h4</v>
      </c>
      <c r="P32">
        <f>160*J31+80*J32+40*J33+120*J34+0*J35+0*J36+0*J37+0*J38</f>
        <v>3280</v>
      </c>
    </row>
    <row r="33" spans="9:16" x14ac:dyDescent="0.3">
      <c r="I33" s="13" t="s">
        <v>95</v>
      </c>
      <c r="J33" s="13">
        <v>6</v>
      </c>
    </row>
    <row r="34" spans="9:16" x14ac:dyDescent="0.3">
      <c r="I34" s="13" t="s">
        <v>96</v>
      </c>
      <c r="J34" s="13">
        <v>0</v>
      </c>
      <c r="L34" t="str">
        <f>D8</f>
        <v>-3A-B-2C-3D+h1=-50</v>
      </c>
      <c r="P34">
        <f>-3*J31-J32-2*J33-3*J34+J35</f>
        <v>-50</v>
      </c>
    </row>
    <row r="35" spans="9:16" x14ac:dyDescent="0.3">
      <c r="I35" s="13" t="s">
        <v>39</v>
      </c>
      <c r="J35" s="13">
        <v>0</v>
      </c>
      <c r="L35" t="str">
        <f t="shared" ref="L35:L37" si="15">D9</f>
        <v>-2A-B-C-2D+h2=-36</v>
      </c>
      <c r="P35">
        <f>-2*J31-J32-J33-2*J34+J36</f>
        <v>-36</v>
      </c>
    </row>
    <row r="36" spans="9:16" x14ac:dyDescent="0.3">
      <c r="I36" s="13" t="s">
        <v>40</v>
      </c>
      <c r="J36" s="13">
        <v>8</v>
      </c>
      <c r="L36" t="str">
        <f t="shared" si="15"/>
        <v>-A-2B-2C-3D+h3=-22</v>
      </c>
      <c r="P36">
        <f>-J31-2*J32-2*J33-3*J34+J37</f>
        <v>-22</v>
      </c>
    </row>
    <row r="37" spans="9:16" x14ac:dyDescent="0.3">
      <c r="I37" s="13" t="s">
        <v>121</v>
      </c>
      <c r="J37" s="13">
        <v>66</v>
      </c>
      <c r="L37" t="str">
        <f t="shared" si="15"/>
        <v>-4A-3B-C-D+h4=-120</v>
      </c>
      <c r="P37">
        <f>-4*J31-3*J32-J33-J34+J38</f>
        <v>-120</v>
      </c>
    </row>
    <row r="38" spans="9:16" x14ac:dyDescent="0.3">
      <c r="I38" s="13" t="s">
        <v>122</v>
      </c>
      <c r="J38" s="13">
        <v>0</v>
      </c>
    </row>
    <row r="39" spans="9:16" x14ac:dyDescent="0.3">
      <c r="I39" s="13" t="s">
        <v>41</v>
      </c>
      <c r="J39" s="13">
        <v>3280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Gasca</dc:creator>
  <cp:lastModifiedBy>Pedro Gasca</cp:lastModifiedBy>
  <dcterms:created xsi:type="dcterms:W3CDTF">2025-03-05T17:24:20Z</dcterms:created>
  <dcterms:modified xsi:type="dcterms:W3CDTF">2025-03-09T06:49:12Z</dcterms:modified>
</cp:coreProperties>
</file>