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esktop\скайпро\Диплом\"/>
    </mc:Choice>
  </mc:AlternateContent>
  <xr:revisionPtr revIDLastSave="0" documentId="8_{890EE0B9-7162-4704-B548-9FA7E364558C}" xr6:coauthVersionLast="47" xr6:coauthVersionMax="47" xr10:uidLastSave="{00000000-0000-0000-0000-000000000000}"/>
  <bookViews>
    <workbookView xWindow="-120" yWindow="-120" windowWidth="29040" windowHeight="15840" tabRatio="709" xr2:uid="{00000000-000D-0000-FFFF-FFFF00000000}"/>
  </bookViews>
  <sheets>
    <sheet name="Результаты запросов" sheetId="1" r:id="rId1"/>
    <sheet name="Модель рассчета 1 вариант  " sheetId="2" r:id="rId2"/>
    <sheet name="Модель рассчета вариант 2" sheetId="3" r:id="rId3"/>
    <sheet name="Исторические данные по региону" sheetId="4" r:id="rId4"/>
    <sheet name="ход акции" sheetId="5" r:id="rId5"/>
  </sheets>
  <externalReferences>
    <externalReference r:id="rId6"/>
  </externalReferences>
  <definedNames>
    <definedName name="_xlcn.WorksheetConnection_немцывсегода.xlsxТаблица21" hidden="1">[1]!Таблица2</definedName>
  </definedNames>
  <calcPr calcId="191029"/>
  <pivotCaches>
    <pivotCache cacheId="320" r:id="rId7"/>
  </pivotCaches>
  <extLst>
    <ext xmlns:x15="http://schemas.microsoft.com/office/spreadsheetml/2010/11/main" uri="{FCE2AD5D-F65C-4FA6-A056-5C36A1767C68}">
      <x15:dataModel>
        <x15:modelTables>
          <x15:modelTable id="Таблица2-ecf45643-ce13-41d4-b92b-0bd0dcfbd751" name="Таблица2" connection="WorksheetConnection_немцы все года.xlsx!Таблица2"/>
        </x15:modelTables>
        <x15:extLst>
          <ext xmlns:x16="http://schemas.microsoft.com/office/spreadsheetml/2014/11/main" uri="{9835A34E-60A6-4A7C-AAB8-D5F71C897F49}">
            <x16:modelTimeGroupings>
              <x16:modelTimeGrouping tableName="Таблица2" columnName="order_created_date" columnId="order_created_date">
                <x16:calculatedTimeColumn columnName="order_created_date (Год)" columnId="order_created_date (Год)" contentType="years" isSelected="1"/>
                <x16:calculatedTimeColumn columnName="order_created_date (Квартал)" columnId="order_created_date (Квартал)" contentType="quarters" isSelected="1"/>
                <x16:calculatedTimeColumn columnName="order_created_date (Индекс месяца)" columnId="order_created_date (Индекс месяца)" contentType="monthsindex" isSelected="1"/>
                <x16:calculatedTimeColumn columnName="order_created_date (Месяц)" columnId="order_created_date (Месяц)"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3" i="3" l="1"/>
  <c r="K39" i="4"/>
  <c r="K24"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3" i="4"/>
  <c r="E11" i="3"/>
  <c r="J26" i="5"/>
  <c r="K26" i="5"/>
  <c r="J23" i="5"/>
  <c r="H23" i="5"/>
  <c r="I23" i="5" s="1"/>
  <c r="K23" i="5" s="1"/>
  <c r="J22" i="5"/>
  <c r="H22" i="5"/>
  <c r="I22" i="5" s="1"/>
  <c r="J21" i="5"/>
  <c r="H21" i="5"/>
  <c r="I21" i="5" s="1"/>
  <c r="K21" i="5" s="1"/>
  <c r="J20" i="5"/>
  <c r="H20" i="5"/>
  <c r="I20" i="5" s="1"/>
  <c r="K20" i="5" s="1"/>
  <c r="J19" i="5"/>
  <c r="H19" i="5"/>
  <c r="I19" i="5" s="1"/>
  <c r="J18" i="5"/>
  <c r="H18" i="5"/>
  <c r="I18" i="5" s="1"/>
  <c r="K18" i="5" s="1"/>
  <c r="J17" i="5"/>
  <c r="H17" i="5"/>
  <c r="I17" i="5" s="1"/>
  <c r="K17" i="5" s="1"/>
  <c r="J16" i="5"/>
  <c r="H16" i="5"/>
  <c r="I16" i="5" s="1"/>
  <c r="J15" i="5"/>
  <c r="H15" i="5"/>
  <c r="I15" i="5" s="1"/>
  <c r="K15" i="5" s="1"/>
  <c r="J14" i="5"/>
  <c r="H14" i="5"/>
  <c r="I14" i="5" s="1"/>
  <c r="K14" i="5" s="1"/>
  <c r="J13" i="5"/>
  <c r="H13" i="5"/>
  <c r="I13" i="5" s="1"/>
  <c r="J12" i="5"/>
  <c r="H12" i="5"/>
  <c r="I12" i="5" s="1"/>
  <c r="K12" i="5" s="1"/>
  <c r="J11" i="5"/>
  <c r="H11" i="5"/>
  <c r="I11" i="5" s="1"/>
  <c r="K11" i="5" s="1"/>
  <c r="J10" i="5"/>
  <c r="H10" i="5"/>
  <c r="I10" i="5" s="1"/>
  <c r="J9" i="5"/>
  <c r="H9" i="5"/>
  <c r="I9" i="5" s="1"/>
  <c r="K9" i="5" s="1"/>
  <c r="J8" i="5"/>
  <c r="H8" i="5"/>
  <c r="I8" i="5" s="1"/>
  <c r="K8" i="5" s="1"/>
  <c r="J7" i="5"/>
  <c r="H7" i="5"/>
  <c r="I7" i="5" s="1"/>
  <c r="J6" i="5"/>
  <c r="H6" i="5"/>
  <c r="I6" i="5" s="1"/>
  <c r="K6" i="5" s="1"/>
  <c r="J5" i="5"/>
  <c r="H5" i="5"/>
  <c r="I5" i="5" s="1"/>
  <c r="K5" i="5" s="1"/>
  <c r="J4" i="5"/>
  <c r="H4" i="5"/>
  <c r="I4" i="5" s="1"/>
  <c r="J3" i="5"/>
  <c r="H3" i="5"/>
  <c r="I3" i="5" s="1"/>
  <c r="K3" i="5" s="1"/>
  <c r="J2" i="5"/>
  <c r="H2" i="5"/>
  <c r="I2" i="5" s="1"/>
  <c r="K2" i="5" s="1"/>
  <c r="L23" i="3"/>
  <c r="K23" i="3"/>
  <c r="H23" i="3"/>
  <c r="I23" i="3"/>
  <c r="J23" i="3" s="1"/>
  <c r="H18" i="3"/>
  <c r="G23" i="3"/>
  <c r="P18" i="2"/>
  <c r="Q18" i="3"/>
  <c r="R18" i="3" s="1"/>
  <c r="I18" i="2"/>
  <c r="J18" i="2" s="1"/>
  <c r="G18" i="2"/>
  <c r="I18" i="3"/>
  <c r="J18" i="3" s="1"/>
  <c r="G18" i="3"/>
  <c r="H13" i="3"/>
  <c r="O13" i="3" s="1"/>
  <c r="H12" i="3"/>
  <c r="O12" i="3" s="1"/>
  <c r="H11" i="3"/>
  <c r="H10" i="3"/>
  <c r="L10" i="3" s="1"/>
  <c r="H9" i="3"/>
  <c r="J9" i="3" s="1"/>
  <c r="H8" i="3"/>
  <c r="O8" i="3" s="1"/>
  <c r="H7" i="3"/>
  <c r="J7" i="3" s="1"/>
  <c r="H6" i="3"/>
  <c r="O6" i="3" s="1"/>
  <c r="H5" i="3"/>
  <c r="L5" i="3" s="1"/>
  <c r="E4" i="3"/>
  <c r="H4" i="3" s="1"/>
  <c r="O3" i="3"/>
  <c r="L3" i="3"/>
  <c r="I3" i="3"/>
  <c r="H3" i="3"/>
  <c r="J3" i="3" s="1"/>
  <c r="O4" i="2"/>
  <c r="P4" i="2" s="1"/>
  <c r="Q4" i="2" s="1"/>
  <c r="O5" i="2"/>
  <c r="P5" i="2" s="1"/>
  <c r="Q5" i="2" s="1"/>
  <c r="O6" i="2"/>
  <c r="P6" i="2" s="1"/>
  <c r="Q6" i="2" s="1"/>
  <c r="O7" i="2"/>
  <c r="P7" i="2" s="1"/>
  <c r="Q7" i="2" s="1"/>
  <c r="O8" i="2"/>
  <c r="P8" i="2" s="1"/>
  <c r="Q8" i="2" s="1"/>
  <c r="O9" i="2"/>
  <c r="P9" i="2" s="1"/>
  <c r="Q9" i="2" s="1"/>
  <c r="O10" i="2"/>
  <c r="P10" i="2" s="1"/>
  <c r="Q10" i="2" s="1"/>
  <c r="O11" i="2"/>
  <c r="P11" i="2" s="1"/>
  <c r="Q11" i="2" s="1"/>
  <c r="O12" i="2"/>
  <c r="P12" i="2" s="1"/>
  <c r="Q12" i="2" s="1"/>
  <c r="O3" i="2"/>
  <c r="P3" i="2" s="1"/>
  <c r="Q3" i="2" s="1"/>
  <c r="H13" i="2"/>
  <c r="L13" i="2" s="1"/>
  <c r="H5" i="2"/>
  <c r="I5" i="2" s="1"/>
  <c r="H3" i="2"/>
  <c r="L3" i="2" s="1"/>
  <c r="E4" i="2"/>
  <c r="H4" i="2" s="1"/>
  <c r="I4" i="2" s="1"/>
  <c r="J3" i="2"/>
  <c r="K36" i="4" l="1"/>
  <c r="K21" i="4"/>
  <c r="K7" i="5"/>
  <c r="K13" i="5"/>
  <c r="K19" i="5"/>
  <c r="K22" i="5"/>
  <c r="K4" i="5"/>
  <c r="K16" i="5"/>
  <c r="K10" i="5"/>
  <c r="M23" i="3"/>
  <c r="L18" i="2"/>
  <c r="H18" i="2"/>
  <c r="K18" i="2" s="1"/>
  <c r="M18" i="2" s="1"/>
  <c r="L9" i="3"/>
  <c r="O9" i="3"/>
  <c r="I8" i="3"/>
  <c r="K8" i="3" s="1"/>
  <c r="P8" i="3" s="1"/>
  <c r="Q8" i="3" s="1"/>
  <c r="J8" i="3"/>
  <c r="L8" i="3"/>
  <c r="O5" i="3"/>
  <c r="O10" i="3"/>
  <c r="L18" i="3"/>
  <c r="K18" i="3"/>
  <c r="M18" i="3" s="1"/>
  <c r="L4" i="3"/>
  <c r="J4" i="3"/>
  <c r="I4" i="3"/>
  <c r="K4" i="3" s="1"/>
  <c r="O4" i="3"/>
  <c r="L11" i="3"/>
  <c r="O11" i="3"/>
  <c r="J11" i="3"/>
  <c r="I11" i="3"/>
  <c r="K3" i="3"/>
  <c r="I13" i="3"/>
  <c r="K13" i="3" s="1"/>
  <c r="J13" i="3"/>
  <c r="I6" i="3"/>
  <c r="J6" i="3"/>
  <c r="L7" i="3"/>
  <c r="I12" i="3"/>
  <c r="I7" i="3"/>
  <c r="K7" i="3" s="1"/>
  <c r="I5" i="3"/>
  <c r="J12" i="3"/>
  <c r="L13" i="3"/>
  <c r="L6" i="3"/>
  <c r="J5" i="3"/>
  <c r="O7" i="3"/>
  <c r="I10" i="3"/>
  <c r="L12" i="3"/>
  <c r="J10" i="3"/>
  <c r="I9" i="3"/>
  <c r="K9" i="3" s="1"/>
  <c r="I13" i="2"/>
  <c r="K13" i="2" s="1"/>
  <c r="O13" i="2"/>
  <c r="J13" i="2"/>
  <c r="L5" i="2"/>
  <c r="L4" i="2"/>
  <c r="J5" i="2"/>
  <c r="K5" i="2" s="1"/>
  <c r="H6" i="2"/>
  <c r="H7" i="2"/>
  <c r="L7" i="2" s="1"/>
  <c r="J4" i="2"/>
  <c r="K4" i="2"/>
  <c r="I3" i="2"/>
  <c r="K3" i="2" s="1"/>
  <c r="Q18" i="2" l="1"/>
  <c r="R18" i="2" s="1"/>
  <c r="M8" i="3"/>
  <c r="N8" i="3" s="1"/>
  <c r="K10" i="3"/>
  <c r="P10" i="3" s="1"/>
  <c r="Q10" i="3" s="1"/>
  <c r="K11" i="3"/>
  <c r="P11" i="3" s="1"/>
  <c r="Q11" i="3" s="1"/>
  <c r="P13" i="3"/>
  <c r="Q13" i="3" s="1"/>
  <c r="M13" i="3"/>
  <c r="N13" i="3" s="1"/>
  <c r="M11" i="3"/>
  <c r="N11" i="3" s="1"/>
  <c r="K5" i="3"/>
  <c r="P7" i="3"/>
  <c r="Q7" i="3" s="1"/>
  <c r="M7" i="3"/>
  <c r="N7" i="3" s="1"/>
  <c r="P4" i="3"/>
  <c r="Q4" i="3" s="1"/>
  <c r="M4" i="3"/>
  <c r="N4" i="3" s="1"/>
  <c r="K12" i="3"/>
  <c r="P9" i="3"/>
  <c r="Q9" i="3" s="1"/>
  <c r="M9" i="3"/>
  <c r="N9" i="3" s="1"/>
  <c r="K6" i="3"/>
  <c r="P3" i="3"/>
  <c r="Q3" i="3" s="1"/>
  <c r="M3" i="3"/>
  <c r="N3" i="3" s="1"/>
  <c r="M13" i="2"/>
  <c r="N13" i="2" s="1"/>
  <c r="P13" i="2"/>
  <c r="Q13" i="2" s="1"/>
  <c r="J6" i="2"/>
  <c r="L6" i="2"/>
  <c r="I6" i="2"/>
  <c r="H8" i="2"/>
  <c r="L8" i="2" s="1"/>
  <c r="I7" i="2"/>
  <c r="J7" i="2"/>
  <c r="M5" i="2"/>
  <c r="N5" i="2" s="1"/>
  <c r="M3" i="2"/>
  <c r="M4" i="2"/>
  <c r="N4" i="2" s="1"/>
  <c r="M10" i="3" l="1"/>
  <c r="N10" i="3" s="1"/>
  <c r="M5" i="3"/>
  <c r="N5" i="3" s="1"/>
  <c r="P5" i="3"/>
  <c r="Q5" i="3" s="1"/>
  <c r="M12" i="3"/>
  <c r="N12" i="3" s="1"/>
  <c r="P12" i="3"/>
  <c r="Q12" i="3" s="1"/>
  <c r="P6" i="3"/>
  <c r="Q6" i="3" s="1"/>
  <c r="M6" i="3"/>
  <c r="N6" i="3" s="1"/>
  <c r="N3" i="2"/>
  <c r="K6" i="2"/>
  <c r="M6" i="2" s="1"/>
  <c r="N6" i="2" s="1"/>
  <c r="K7" i="2"/>
  <c r="M7" i="2" s="1"/>
  <c r="N7" i="2" s="1"/>
  <c r="I8" i="2"/>
  <c r="J8" i="2"/>
  <c r="H9" i="2"/>
  <c r="L9" i="2" s="1"/>
  <c r="H10" i="2" l="1"/>
  <c r="L10" i="2" s="1"/>
  <c r="E11" i="2"/>
  <c r="J9" i="2"/>
  <c r="I9" i="2"/>
  <c r="K8" i="2"/>
  <c r="M8" i="2" s="1"/>
  <c r="N8" i="2" s="1"/>
  <c r="H11" i="2" l="1"/>
  <c r="L11" i="2" s="1"/>
  <c r="H12" i="2"/>
  <c r="L12" i="2" s="1"/>
  <c r="I11" i="2"/>
  <c r="J11" i="2"/>
  <c r="K9" i="2"/>
  <c r="M9" i="2" s="1"/>
  <c r="N9" i="2" s="1"/>
  <c r="J10" i="2"/>
  <c r="I10" i="2"/>
  <c r="I12" i="2" l="1"/>
  <c r="J12" i="2"/>
  <c r="K10" i="2"/>
  <c r="M10" i="2" s="1"/>
  <c r="N10" i="2" s="1"/>
  <c r="K11" i="2"/>
  <c r="M11" i="2" s="1"/>
  <c r="N11" i="2" s="1"/>
  <c r="K12" i="2" l="1"/>
  <c r="M12" i="2" s="1"/>
  <c r="N1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ХхХххх</author>
  </authors>
  <commentList>
    <comment ref="B14" authorId="0" shapeId="0" xr:uid="{175AAD7D-0D25-47C9-8749-AA6CBCC1A6C1}">
      <text>
        <r>
          <rPr>
            <b/>
            <sz val="9"/>
            <color indexed="81"/>
            <rFont val="Tahoma"/>
            <family val="2"/>
            <charset val="204"/>
          </rPr>
          <t>Рассчет в строке выделенной зеленым цветом!</t>
        </r>
        <r>
          <rPr>
            <sz val="9"/>
            <color indexed="81"/>
            <rFont val="Tahoma"/>
            <family val="2"/>
            <charset val="204"/>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4CB383-42D1-4D4C-893A-F85C32CED480}" keepAlive="1" name="ThisWorkbookDataModel" description="Модель данных"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46CE6092-89B0-4F5D-A702-80F379E5B4AD}" name="WorksheetConnection_немцы все года.xlsx!Таблица2" type="102" refreshedVersion="7" minRefreshableVersion="5">
    <extLst>
      <ext xmlns:x15="http://schemas.microsoft.com/office/spreadsheetml/2010/11/main" uri="{DE250136-89BD-433C-8126-D09CA5730AF9}">
        <x15:connection id="Таблица2-ecf45643-ce13-41d4-b92b-0bd0dcfbd751">
          <x15:rangePr sourceName="_xlcn.WorksheetConnection_немцывсегода.xlsxТаблица21"/>
        </x15:connection>
      </ext>
    </extLst>
  </connection>
</connections>
</file>

<file path=xl/sharedStrings.xml><?xml version="1.0" encoding="utf-8"?>
<sst xmlns="http://schemas.openxmlformats.org/spreadsheetml/2006/main" count="350" uniqueCount="153">
  <si>
    <t>Количество_пользователей</t>
  </si>
  <si>
    <t>количество_всех_покупок</t>
  </si>
  <si>
    <t>Количество_покупок_на_1_пользовате</t>
  </si>
  <si>
    <t>общая_сумма_комиссии</t>
  </si>
  <si>
    <t>общая_сумма_покупок</t>
  </si>
  <si>
    <t>Сумма_постоянных_затрат</t>
  </si>
  <si>
    <t>затраты_на_маркетинг</t>
  </si>
  <si>
    <t>общие_затраты</t>
  </si>
  <si>
    <t>Маржа</t>
  </si>
  <si>
    <t>доля_затрат</t>
  </si>
  <si>
    <t>Количество_покупок_на_1_пользователя</t>
  </si>
  <si>
    <t>Приз (путевка)</t>
  </si>
  <si>
    <t>Количество покупок</t>
  </si>
  <si>
    <t>Количество пользователей</t>
  </si>
  <si>
    <t>Стоимость покупки</t>
  </si>
  <si>
    <t>Общая сумма покупок (с нарастающим)</t>
  </si>
  <si>
    <t>Маржа от покупок</t>
  </si>
  <si>
    <t xml:space="preserve">Баллы лояльности </t>
  </si>
  <si>
    <t>Процент маржи</t>
  </si>
  <si>
    <t>Расходы</t>
  </si>
  <si>
    <t>Operation profit</t>
  </si>
  <si>
    <t>OP с вычетом затрат на лояльность</t>
  </si>
  <si>
    <t>OP с вычетом приза</t>
  </si>
  <si>
    <t>среднее количество покупок на 1 пользователя</t>
  </si>
  <si>
    <t>количество всех операций (покупок)</t>
  </si>
  <si>
    <t>количество уникальных пользователей сделавших покупки в апреле 21</t>
  </si>
  <si>
    <t>реальная сумма всех покупок за апрель 2021</t>
  </si>
  <si>
    <t>реальная выручка за апрель 2021</t>
  </si>
  <si>
    <t>реальные расходы за апрель 2021</t>
  </si>
  <si>
    <t>реальный доход за апрель 2021</t>
  </si>
  <si>
    <t>средняя сумма 1 покупки пользователя</t>
  </si>
  <si>
    <t>средняя выручка от 1 пользователя</t>
  </si>
  <si>
    <t xml:space="preserve">Реальные показатели той же группы </t>
  </si>
  <si>
    <t>показатели</t>
  </si>
  <si>
    <t>Метрики по данным за апрель 21 года по всем пользователям</t>
  </si>
  <si>
    <t>Количество_пользователей делавших покупки</t>
  </si>
  <si>
    <t>число пользователей виполнивших условия акции</t>
  </si>
  <si>
    <t>Потери от акции</t>
  </si>
  <si>
    <t>Результат запроса данные пользователей сделавших покупки в апреле 2021</t>
  </si>
  <si>
    <t>Ссылка на запрос</t>
  </si>
  <si>
    <t>https://metabase.sky.pro/question/14290</t>
  </si>
  <si>
    <t>Результат запроса данные пользователей региона  de сделавших покупки в апреле 2021</t>
  </si>
  <si>
    <t>https://metabase.sky.pro/question/14513</t>
  </si>
  <si>
    <t>Метрики по данным за апрель 21 года по пользователям региона DE</t>
  </si>
  <si>
    <t xml:space="preserve">Теоретический расчет модели unit экономики при проведении акции по данным всех пользователей за апрель 2021 </t>
  </si>
  <si>
    <t>Затраты на баллы лояльности при 1 %</t>
  </si>
  <si>
    <t>Затраты на баллы лояльности при ? %</t>
  </si>
  <si>
    <t>OP с вычетом затрат на лояльность при ? %</t>
  </si>
  <si>
    <t>Баллы лояльности ? (максимальный процент баллов)</t>
  </si>
  <si>
    <t>Размер приза</t>
  </si>
  <si>
    <t>Итоговая выручка</t>
  </si>
  <si>
    <t xml:space="preserve">Рассчет потерь в зависимости от количества участников акции </t>
  </si>
  <si>
    <t>Результат запроса данные польз-й всех регионов кроме DE сделавших покупки в апреле 2021</t>
  </si>
  <si>
    <t>https://metabase.sky.pro/question/14515</t>
  </si>
  <si>
    <t>Прибыль от 1 участника акции</t>
  </si>
  <si>
    <t>Реальные показатели всех регионов без DE</t>
  </si>
  <si>
    <t>Метрики по данным за апрель 21 года пользователей без региона  DE</t>
  </si>
  <si>
    <t>Выручка компании за апрель 21 по всем регионам</t>
  </si>
  <si>
    <t>Названия строк</t>
  </si>
  <si>
    <t>Сумма по столбцу transaction_value</t>
  </si>
  <si>
    <t>2019</t>
  </si>
  <si>
    <t>янв</t>
  </si>
  <si>
    <t>фев</t>
  </si>
  <si>
    <t>мар</t>
  </si>
  <si>
    <t>апр</t>
  </si>
  <si>
    <t>май</t>
  </si>
  <si>
    <t>июн</t>
  </si>
  <si>
    <t>июл</t>
  </si>
  <si>
    <t>авг</t>
  </si>
  <si>
    <t>сен</t>
  </si>
  <si>
    <t>окт</t>
  </si>
  <si>
    <t>ноя</t>
  </si>
  <si>
    <t>дек</t>
  </si>
  <si>
    <t>2019 Итог</t>
  </si>
  <si>
    <t>2020</t>
  </si>
  <si>
    <t>2020 Итог</t>
  </si>
  <si>
    <t>2021</t>
  </si>
  <si>
    <t>2021 Итог</t>
  </si>
  <si>
    <t>2022</t>
  </si>
  <si>
    <t>2022 Итог</t>
  </si>
  <si>
    <t>Общий итог</t>
  </si>
  <si>
    <t>Количество пользователей делавших покупки</t>
  </si>
  <si>
    <t>user_id</t>
  </si>
  <si>
    <t>orders_number</t>
  </si>
  <si>
    <t>transaction_value</t>
  </si>
  <si>
    <t>commission</t>
  </si>
  <si>
    <t>processing_cost</t>
  </si>
  <si>
    <t>promocode_cost</t>
  </si>
  <si>
    <t>intergtation_cost</t>
  </si>
  <si>
    <t>подходит ли под акцию</t>
  </si>
  <si>
    <t>баллы лояльности</t>
  </si>
  <si>
    <t>маржа без акции</t>
  </si>
  <si>
    <t>маржа с вычетом баллов</t>
  </si>
  <si>
    <t>order_created_date</t>
  </si>
  <si>
    <t>user_created_date</t>
  </si>
  <si>
    <t>status</t>
  </si>
  <si>
    <t>role</t>
  </si>
  <si>
    <t>region_id</t>
  </si>
  <si>
    <t>name</t>
  </si>
  <si>
    <t>language</t>
  </si>
  <si>
    <t>active</t>
  </si>
  <si>
    <t>manager</t>
  </si>
  <si>
    <t>Lower Austria</t>
  </si>
  <si>
    <t>de</t>
  </si>
  <si>
    <t>master</t>
  </si>
  <si>
    <t>Vorarlberg</t>
  </si>
  <si>
    <t>Welzheim</t>
  </si>
  <si>
    <t>finance</t>
  </si>
  <si>
    <t>M?nzenberg</t>
  </si>
  <si>
    <t>Karben</t>
  </si>
  <si>
    <t>Carinthia</t>
  </si>
  <si>
    <t>Kandel</t>
  </si>
  <si>
    <t>Vienna</t>
  </si>
  <si>
    <t>Drebkau</t>
  </si>
  <si>
    <t>Saarlouis</t>
  </si>
  <si>
    <t>Augustusburg</t>
  </si>
  <si>
    <t>M?nster</t>
  </si>
  <si>
    <t>приз</t>
  </si>
  <si>
    <t>Прибыль на текущий момент</t>
  </si>
  <si>
    <t>с учетом акции</t>
  </si>
  <si>
    <t>без учета акции</t>
  </si>
  <si>
    <t>Выводы по данной модели:</t>
  </si>
  <si>
    <r>
      <t xml:space="preserve">2. Для данной модели </t>
    </r>
    <r>
      <rPr>
        <b/>
        <sz val="12"/>
        <color rgb="FF000000"/>
        <rFont val="Calibri"/>
        <family val="2"/>
        <charset val="204"/>
        <scheme val="minor"/>
      </rPr>
      <t>максимальные потери</t>
    </r>
    <r>
      <rPr>
        <sz val="12"/>
        <color indexed="8"/>
        <rFont val="Calibri"/>
        <family val="2"/>
        <scheme val="minor"/>
      </rPr>
      <t xml:space="preserve"> </t>
    </r>
    <r>
      <rPr>
        <sz val="12"/>
        <color rgb="FF000000"/>
        <rFont val="Calibri"/>
        <family val="2"/>
        <scheme val="minor"/>
      </rPr>
      <t xml:space="preserve">составят </t>
    </r>
    <r>
      <rPr>
        <b/>
        <sz val="12"/>
        <color rgb="FF000000"/>
        <rFont val="Calibri"/>
        <family val="2"/>
        <charset val="204"/>
        <scheme val="minor"/>
      </rPr>
      <t>49661,43 рубля</t>
    </r>
    <r>
      <rPr>
        <sz val="12"/>
        <color rgb="FF000000"/>
        <rFont val="Calibri"/>
        <family val="2"/>
        <scheme val="minor"/>
      </rPr>
      <t xml:space="preserve">, это возможно если у нас будет всего 1 покупатель и он выполнит условия акции. </t>
    </r>
  </si>
  <si>
    <r>
      <t xml:space="preserve">1. </t>
    </r>
    <r>
      <rPr>
        <b/>
        <sz val="12"/>
        <color rgb="FF000000"/>
        <rFont val="Calibri"/>
        <family val="2"/>
        <charset val="204"/>
        <scheme val="minor"/>
      </rPr>
      <t>Потенциальный охват</t>
    </r>
    <r>
      <rPr>
        <sz val="12"/>
        <color indexed="8"/>
        <rFont val="Calibri"/>
        <family val="2"/>
        <scheme val="minor"/>
      </rPr>
      <t xml:space="preserve"> пользователей для акции </t>
    </r>
    <r>
      <rPr>
        <b/>
        <sz val="12"/>
        <color rgb="FF000000"/>
        <rFont val="Calibri"/>
        <family val="2"/>
        <charset val="204"/>
        <scheme val="minor"/>
      </rPr>
      <t>275 человек,</t>
    </r>
    <r>
      <rPr>
        <sz val="12"/>
        <color indexed="8"/>
        <rFont val="Calibri"/>
        <family val="2"/>
        <scheme val="minor"/>
      </rPr>
      <t xml:space="preserve"> это все активные пользователи региона с языко De.</t>
    </r>
  </si>
  <si>
    <t>3. При начислении 1 % баллов лояльности необходимо, что бы 148 пользователей приняло участие в акции для выхода на положительный баланс по региону De.</t>
  </si>
  <si>
    <r>
      <t xml:space="preserve">4. </t>
    </r>
    <r>
      <rPr>
        <b/>
        <sz val="12"/>
        <color rgb="FF000000"/>
        <rFont val="Calibri"/>
        <family val="2"/>
        <charset val="204"/>
        <scheme val="minor"/>
      </rPr>
      <t>Максимальный процент баллов лояльности</t>
    </r>
    <r>
      <rPr>
        <sz val="12"/>
        <color rgb="FF000000"/>
        <rFont val="Calibri"/>
        <family val="2"/>
        <charset val="204"/>
        <scheme val="minor"/>
      </rPr>
      <t xml:space="preserve"> (для потенциального охвата пользоватей 275 чел.), который мы можем дать пользователям, при этом не уйти в минус, составляет </t>
    </r>
    <r>
      <rPr>
        <b/>
        <sz val="12"/>
        <color rgb="FF000000"/>
        <rFont val="Calibri"/>
        <family val="2"/>
        <charset val="204"/>
        <scheme val="minor"/>
      </rPr>
      <t>1,52%.</t>
    </r>
  </si>
  <si>
    <t>По данной модели у меня возникли сомнения т.к. для рассчетных данных мы использовали все регионы. Я решил сделать модель построенную на данных только из регионов с языком De</t>
  </si>
  <si>
    <t>Примечания:</t>
  </si>
  <si>
    <t xml:space="preserve">Метрики компании рассчитанные на данных только нужных нам регионов отличаются от данных предыдущей модели, поэтому результаты получились другие. </t>
  </si>
  <si>
    <t>Считаю, что эта модель более корректная, так как  основана на дынных нужного нам региона, что исключает какие либо выбросы из других регионов.</t>
  </si>
  <si>
    <r>
      <t xml:space="preserve">2. Для данной модели </t>
    </r>
    <r>
      <rPr>
        <b/>
        <sz val="12"/>
        <color rgb="FF000000"/>
        <rFont val="Calibri"/>
        <family val="2"/>
        <charset val="204"/>
        <scheme val="minor"/>
      </rPr>
      <t>максимальные потери</t>
    </r>
    <r>
      <rPr>
        <sz val="12"/>
        <color indexed="8"/>
        <rFont val="Calibri"/>
        <family val="2"/>
        <scheme val="minor"/>
      </rPr>
      <t xml:space="preserve"> </t>
    </r>
    <r>
      <rPr>
        <sz val="12"/>
        <color rgb="FF000000"/>
        <rFont val="Calibri"/>
        <family val="2"/>
        <scheme val="minor"/>
      </rPr>
      <t xml:space="preserve">составят </t>
    </r>
    <r>
      <rPr>
        <b/>
        <sz val="12"/>
        <color rgb="FF000000"/>
        <rFont val="Calibri"/>
        <family val="2"/>
        <charset val="204"/>
        <scheme val="minor"/>
      </rPr>
      <t>49702,72  рубля</t>
    </r>
    <r>
      <rPr>
        <sz val="12"/>
        <color rgb="FF000000"/>
        <rFont val="Calibri"/>
        <family val="2"/>
        <scheme val="minor"/>
      </rPr>
      <t xml:space="preserve">, это возможно если у нас будет всего 1 покупатель и он выполнит условия акции. </t>
    </r>
  </si>
  <si>
    <t>3. При начислении 1 % баллов лояльности необходимо, что бы 169 пользователей приняло участие в акции для выхода на положительный баланс по региону De.</t>
  </si>
  <si>
    <r>
      <t xml:space="preserve">4. </t>
    </r>
    <r>
      <rPr>
        <b/>
        <sz val="12"/>
        <color rgb="FF000000"/>
        <rFont val="Calibri"/>
        <family val="2"/>
        <charset val="204"/>
        <scheme val="minor"/>
      </rPr>
      <t>Максимальный процент баллов лояльности</t>
    </r>
    <r>
      <rPr>
        <sz val="12"/>
        <color rgb="FF000000"/>
        <rFont val="Calibri"/>
        <family val="2"/>
        <charset val="204"/>
        <scheme val="minor"/>
      </rPr>
      <t xml:space="preserve"> (для потенциального охвата пользоватей 275 чел.), который мы можем дать пользователям, при этом не уйти в минус, составляет </t>
    </r>
    <r>
      <rPr>
        <b/>
        <sz val="12"/>
        <color rgb="FF000000"/>
        <rFont val="Calibri"/>
        <family val="2"/>
        <charset val="204"/>
        <scheme val="minor"/>
      </rPr>
      <t>1,38%.</t>
    </r>
  </si>
  <si>
    <t>Сумма по столбцу processing_cost</t>
  </si>
  <si>
    <t>Сумма по столбцу promocode_cost</t>
  </si>
  <si>
    <t>Сумма по столбцу intergtation_cost</t>
  </si>
  <si>
    <t>Общие расходы</t>
  </si>
  <si>
    <t xml:space="preserve">5. Изучив исторнические данные видно, что в среднем каждый месяц в регионе делают покупки не более 100 пользователей и совершают около 160 покупок, а для удачного проведения акции </t>
  </si>
  <si>
    <t xml:space="preserve">необходимо, что бы 169 человек приняло участие в акции и совершили не менее 10 покупок от 3000.  При этом только постоянные затраты вырастут со средних 64,5 тысяч до более 400 тысяч, заложены ли в бюджете компании такие средства?                                                                                 </t>
  </si>
  <si>
    <t>Сумма по столбцу commission</t>
  </si>
  <si>
    <t>средняя маржа за месяц 21г</t>
  </si>
  <si>
    <t>средение расходы за месяц 21г</t>
  </si>
  <si>
    <t>средение расходы за месяц 20г</t>
  </si>
  <si>
    <t>средняя маржа за месяц 20г</t>
  </si>
  <si>
    <t>6. Так же необходимо учитывать, что кроме участников акции будут пользователи, которые не пройдут по условиям акции, но прибыль от них все равно нужно учитывать, за апрель месяц она составит 16748,86 руб</t>
  </si>
  <si>
    <t>тогда выхода на положительный баланс нам нужно привлечь 112 участников акции.</t>
  </si>
  <si>
    <t>7. Выручка всей компании при таком исходе составит 141208,7 рублей.</t>
  </si>
  <si>
    <t xml:space="preserve">К проведению данной акции нужно подходить с осторожностью, так как при выполнении условий акции всего лишь 1 участником компания теряет 50 т.р. </t>
  </si>
  <si>
    <t>и необходимо будет многократно увеличивать расходы на маркетинг для привлечения нужного количества пользователей, возможно стоит пересмотреть условия акции</t>
  </si>
  <si>
    <t>На текущий момент невозможно посчитать  итоговый результат, так как данные не за весь месяц.</t>
  </si>
  <si>
    <t xml:space="preserve">Можно предположить 2 варианта: </t>
  </si>
  <si>
    <t>1. Никто из пользователей не выполнит условия акции и маржа будет считаться по столбцу J</t>
  </si>
  <si>
    <t>2. Все пользователи, совершающие платежи более 3000 выполнят условия акции, тогда маржа будет считаться по столбцу 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</si>
</sst>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5" x14ac:knownFonts="1">
    <font>
      <sz val="11"/>
      <color indexed="8"/>
      <name val="Calibri"/>
      <family val="2"/>
      <scheme val="minor"/>
    </font>
    <font>
      <sz val="11"/>
      <color indexed="8"/>
      <name val="Calibri"/>
      <family val="2"/>
      <scheme val="minor"/>
    </font>
    <font>
      <b/>
      <sz val="11"/>
      <color indexed="8"/>
      <name val="Calibri"/>
      <family val="2"/>
      <charset val="204"/>
      <scheme val="minor"/>
    </font>
    <font>
      <u/>
      <sz val="11"/>
      <color theme="10"/>
      <name val="Calibri"/>
      <family val="2"/>
      <scheme val="minor"/>
    </font>
    <font>
      <b/>
      <sz val="8"/>
      <color indexed="8"/>
      <name val="Calibri"/>
      <family val="2"/>
      <charset val="204"/>
      <scheme val="minor"/>
    </font>
    <font>
      <sz val="9"/>
      <color indexed="8"/>
      <name val="Calibri"/>
      <family val="2"/>
      <charset val="204"/>
      <scheme val="minor"/>
    </font>
    <font>
      <b/>
      <sz val="12"/>
      <color indexed="8"/>
      <name val="Calibri"/>
      <family val="2"/>
      <charset val="204"/>
      <scheme val="minor"/>
    </font>
    <font>
      <sz val="12"/>
      <color indexed="8"/>
      <name val="Calibri"/>
      <family val="2"/>
      <scheme val="minor"/>
    </font>
    <font>
      <b/>
      <sz val="14"/>
      <color indexed="8"/>
      <name val="Calibri"/>
      <family val="2"/>
      <charset val="204"/>
      <scheme val="minor"/>
    </font>
    <font>
      <sz val="12"/>
      <color rgb="FF000000"/>
      <name val="Calibri"/>
      <family val="2"/>
      <charset val="204"/>
      <scheme val="minor"/>
    </font>
    <font>
      <sz val="12"/>
      <color rgb="FF000000"/>
      <name val="Calibri"/>
      <family val="2"/>
      <scheme val="minor"/>
    </font>
    <font>
      <b/>
      <sz val="12"/>
      <color rgb="FF000000"/>
      <name val="Calibri"/>
      <family val="2"/>
      <charset val="204"/>
      <scheme val="minor"/>
    </font>
    <font>
      <sz val="9"/>
      <color indexed="81"/>
      <name val="Tahoma"/>
      <family val="2"/>
      <charset val="204"/>
    </font>
    <font>
      <b/>
      <sz val="9"/>
      <color indexed="81"/>
      <name val="Tahoma"/>
      <family val="2"/>
      <charset val="204"/>
    </font>
    <font>
      <b/>
      <sz val="12"/>
      <color indexed="8"/>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45E73"/>
        <bgColor indexed="64"/>
      </patternFill>
    </fill>
    <fill>
      <patternFill patternType="solid">
        <fgColor rgb="FF00B050"/>
        <bgColor indexed="64"/>
      </patternFill>
    </fill>
  </fills>
  <borders count="37">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25">
    <xf numFmtId="0" fontId="0" fillId="0" borderId="0" xfId="0"/>
    <xf numFmtId="10" fontId="0" fillId="0" borderId="0" xfId="1" applyNumberFormat="1" applyFont="1"/>
    <xf numFmtId="164" fontId="0" fillId="0" borderId="0" xfId="0" applyNumberFormat="1"/>
    <xf numFmtId="0" fontId="0" fillId="0" borderId="0" xfId="0" applyAlignment="1">
      <alignment shrinkToFit="1"/>
    </xf>
    <xf numFmtId="0" fontId="2" fillId="0" borderId="0" xfId="0" applyFont="1"/>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4" fontId="0" fillId="0" borderId="1" xfId="0" applyNumberFormat="1" applyBorder="1"/>
    <xf numFmtId="164" fontId="0" fillId="0" borderId="2" xfId="0" applyNumberFormat="1" applyBorder="1"/>
    <xf numFmtId="0" fontId="2" fillId="2" borderId="3" xfId="0" applyFont="1" applyFill="1" applyBorder="1" applyAlignment="1">
      <alignment wrapText="1" shrinkToFit="1"/>
    </xf>
    <xf numFmtId="0" fontId="0" fillId="0" borderId="4" xfId="0" applyBorder="1"/>
    <xf numFmtId="0" fontId="0" fillId="0" borderId="5" xfId="0" applyBorder="1"/>
    <xf numFmtId="0" fontId="0" fillId="0" borderId="6" xfId="0"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13" xfId="0" applyNumberFormat="1" applyBorder="1"/>
    <xf numFmtId="0" fontId="0" fillId="0" borderId="3" xfId="0" applyBorder="1"/>
    <xf numFmtId="0" fontId="0" fillId="4" borderId="3" xfId="0" applyFill="1" applyBorder="1"/>
    <xf numFmtId="0" fontId="2" fillId="0" borderId="3" xfId="0" applyFont="1" applyBorder="1"/>
    <xf numFmtId="2" fontId="2" fillId="0" borderId="3" xfId="0" applyNumberFormat="1" applyFont="1" applyBorder="1"/>
    <xf numFmtId="164" fontId="2" fillId="0" borderId="3" xfId="0" applyNumberFormat="1" applyFont="1" applyBorder="1"/>
    <xf numFmtId="10" fontId="2" fillId="0" borderId="3" xfId="1" applyNumberFormat="1" applyFont="1" applyBorder="1"/>
    <xf numFmtId="0" fontId="0" fillId="4" borderId="7"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3" fillId="0" borderId="0" xfId="2" applyBorder="1"/>
    <xf numFmtId="2" fontId="0" fillId="0" borderId="1" xfId="0" applyNumberFormat="1" applyBorder="1"/>
    <xf numFmtId="0" fontId="0" fillId="0" borderId="0" xfId="0" applyBorder="1"/>
    <xf numFmtId="0" fontId="0" fillId="0" borderId="1" xfId="0" applyBorder="1"/>
    <xf numFmtId="2" fontId="0" fillId="0" borderId="0" xfId="0" applyNumberFormat="1" applyBorder="1"/>
    <xf numFmtId="164" fontId="0" fillId="0" borderId="0" xfId="0" applyNumberFormat="1" applyBorder="1"/>
    <xf numFmtId="10" fontId="0" fillId="0" borderId="0" xfId="1" applyNumberFormat="1" applyFont="1" applyBorder="1"/>
    <xf numFmtId="0" fontId="0" fillId="0" borderId="20" xfId="0" applyBorder="1"/>
    <xf numFmtId="10" fontId="0" fillId="0" borderId="21" xfId="1" applyNumberFormat="1" applyFont="1" applyBorder="1"/>
    <xf numFmtId="0" fontId="0" fillId="0" borderId="2" xfId="0" applyBorder="1"/>
    <xf numFmtId="164" fontId="0" fillId="0" borderId="3" xfId="0" applyNumberFormat="1" applyBorder="1"/>
    <xf numFmtId="0" fontId="2" fillId="3" borderId="22" xfId="0" applyFont="1" applyFill="1" applyBorder="1" applyAlignment="1">
      <alignment horizontal="center"/>
    </xf>
    <xf numFmtId="0" fontId="2" fillId="3" borderId="0" xfId="0" applyFont="1" applyFill="1" applyBorder="1" applyAlignment="1">
      <alignment horizontal="center"/>
    </xf>
    <xf numFmtId="0" fontId="0" fillId="0" borderId="3" xfId="0" applyFill="1" applyBorder="1"/>
    <xf numFmtId="164" fontId="0" fillId="0" borderId="23" xfId="0" applyNumberFormat="1" applyBorder="1"/>
    <xf numFmtId="164" fontId="0" fillId="0" borderId="22" xfId="0" applyNumberFormat="1" applyBorder="1"/>
    <xf numFmtId="164" fontId="0" fillId="0" borderId="24" xfId="0" applyNumberFormat="1" applyBorder="1"/>
    <xf numFmtId="0" fontId="2" fillId="2" borderId="25" xfId="0" applyFont="1" applyFill="1" applyBorder="1" applyAlignment="1">
      <alignment wrapText="1" shrinkToFit="1"/>
    </xf>
    <xf numFmtId="0" fontId="2" fillId="2" borderId="26" xfId="0" applyFont="1" applyFill="1" applyBorder="1" applyAlignment="1">
      <alignment horizontal="center" wrapText="1" shrinkToFit="1"/>
    </xf>
    <xf numFmtId="0" fontId="2" fillId="2" borderId="27" xfId="0" applyFont="1" applyFill="1" applyBorder="1" applyAlignment="1">
      <alignment wrapText="1" shrinkToFit="1"/>
    </xf>
    <xf numFmtId="0" fontId="2" fillId="2" borderId="28" xfId="0" applyFont="1" applyFill="1" applyBorder="1" applyAlignment="1">
      <alignment wrapText="1" shrinkToFit="1"/>
    </xf>
    <xf numFmtId="164" fontId="0" fillId="0" borderId="29" xfId="0" applyNumberFormat="1" applyBorder="1"/>
    <xf numFmtId="164" fontId="0" fillId="0" borderId="30"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0" fontId="2" fillId="2" borderId="7" xfId="0" applyFont="1" applyFill="1" applyBorder="1" applyAlignment="1">
      <alignment wrapText="1" shrinkToFit="1"/>
    </xf>
    <xf numFmtId="0" fontId="2" fillId="2" borderId="8" xfId="0" applyFont="1" applyFill="1" applyBorder="1" applyAlignment="1">
      <alignment wrapText="1" shrinkToFit="1"/>
    </xf>
    <xf numFmtId="0" fontId="2" fillId="2" borderId="9" xfId="0" applyFont="1" applyFill="1" applyBorder="1" applyAlignment="1">
      <alignment wrapText="1" shrinkToFit="1"/>
    </xf>
    <xf numFmtId="164" fontId="0" fillId="0" borderId="31" xfId="0" applyNumberFormat="1" applyBorder="1"/>
    <xf numFmtId="164" fontId="0" fillId="0" borderId="32" xfId="0" applyNumberFormat="1" applyBorder="1"/>
    <xf numFmtId="0" fontId="2" fillId="2" borderId="33" xfId="0" applyFont="1" applyFill="1" applyBorder="1" applyAlignment="1">
      <alignment wrapText="1" shrinkToFit="1"/>
    </xf>
    <xf numFmtId="164" fontId="0" fillId="0" borderId="34" xfId="0" applyNumberFormat="1" applyBorder="1"/>
    <xf numFmtId="0" fontId="2" fillId="2" borderId="7" xfId="0" applyFont="1" applyFill="1" applyBorder="1" applyAlignment="1">
      <alignment horizontal="center" wrapText="1" shrinkToFit="1"/>
    </xf>
    <xf numFmtId="0" fontId="0" fillId="5" borderId="5" xfId="0" applyFill="1" applyBorder="1"/>
    <xf numFmtId="164" fontId="0" fillId="5" borderId="5" xfId="0" applyNumberFormat="1" applyFill="1" applyBorder="1"/>
    <xf numFmtId="164" fontId="0" fillId="5" borderId="22" xfId="0" applyNumberFormat="1" applyFill="1" applyBorder="1"/>
    <xf numFmtId="164" fontId="0" fillId="5" borderId="29" xfId="0" applyNumberFormat="1" applyFill="1" applyBorder="1"/>
    <xf numFmtId="164" fontId="0" fillId="5" borderId="19" xfId="0" applyNumberFormat="1" applyFill="1" applyBorder="1"/>
    <xf numFmtId="164" fontId="0" fillId="5" borderId="0" xfId="0" applyNumberFormat="1" applyFill="1" applyBorder="1"/>
    <xf numFmtId="164" fontId="0" fillId="5" borderId="1" xfId="0" applyNumberFormat="1" applyFill="1" applyBorder="1"/>
    <xf numFmtId="164" fontId="0" fillId="6" borderId="23" xfId="0" applyNumberFormat="1" applyFill="1" applyBorder="1"/>
    <xf numFmtId="0" fontId="0" fillId="0" borderId="12" xfId="0" applyBorder="1" applyAlignment="1">
      <alignment horizontal="center" vertical="center"/>
    </xf>
    <xf numFmtId="0" fontId="0" fillId="0" borderId="13" xfId="0" applyBorder="1" applyAlignment="1">
      <alignment horizontal="center" vertical="center"/>
    </xf>
    <xf numFmtId="2" fontId="0" fillId="0" borderId="13" xfId="0" applyNumberFormat="1"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0" fontId="4" fillId="0" borderId="10"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0" xfId="0" applyAlignment="1">
      <alignment wrapText="1"/>
    </xf>
    <xf numFmtId="0" fontId="0" fillId="4" borderId="33" xfId="0" applyFill="1" applyBorder="1" applyAlignment="1">
      <alignment horizontal="center"/>
    </xf>
    <xf numFmtId="0" fontId="4" fillId="0" borderId="25" xfId="0" applyFont="1" applyBorder="1" applyAlignment="1">
      <alignment horizontal="center" vertical="center" wrapText="1"/>
    </xf>
    <xf numFmtId="164" fontId="0" fillId="0" borderId="35" xfId="0" applyNumberFormat="1" applyBorder="1" applyAlignment="1">
      <alignment horizontal="center" vertical="center"/>
    </xf>
    <xf numFmtId="0" fontId="0" fillId="0" borderId="3" xfId="0" applyFont="1" applyFill="1" applyBorder="1" applyAlignment="1">
      <alignment horizontal="center" vertical="center" wrapText="1"/>
    </xf>
    <xf numFmtId="0" fontId="0" fillId="0" borderId="3" xfId="0" applyBorder="1" applyAlignment="1">
      <alignment horizontal="center" vertical="center" wrapText="1"/>
    </xf>
    <xf numFmtId="10" fontId="5" fillId="0" borderId="10" xfId="1" applyNumberFormat="1" applyFont="1" applyBorder="1" applyAlignment="1">
      <alignment horizontal="center" vertical="center" wrapText="1"/>
    </xf>
    <xf numFmtId="0" fontId="0" fillId="0" borderId="11" xfId="0" applyBorder="1" applyAlignment="1">
      <alignment horizontal="center" vertical="center" wrapText="1"/>
    </xf>
    <xf numFmtId="164" fontId="0" fillId="0" borderId="14" xfId="0" applyNumberFormat="1" applyBorder="1" applyAlignment="1">
      <alignment horizontal="center" vertical="center" wrapText="1"/>
    </xf>
    <xf numFmtId="0" fontId="0" fillId="6" borderId="26"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2" fillId="0" borderId="12" xfId="0"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10" fontId="2" fillId="0" borderId="13" xfId="1" applyNumberFormat="1" applyFont="1" applyBorder="1"/>
    <xf numFmtId="0" fontId="2" fillId="5" borderId="15" xfId="0" applyFont="1" applyFill="1" applyBorder="1" applyAlignment="1">
      <alignment horizontal="center" vertical="center" wrapText="1"/>
    </xf>
    <xf numFmtId="164" fontId="6" fillId="5" borderId="36" xfId="0" applyNumberFormat="1" applyFont="1" applyFill="1" applyBorder="1"/>
    <xf numFmtId="16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 fontId="2" fillId="0" borderId="0" xfId="1" applyNumberFormat="1" applyFont="1" applyBorder="1" applyAlignment="1">
      <alignment horizontal="center" vertical="center"/>
    </xf>
    <xf numFmtId="10" fontId="2" fillId="0" borderId="0" xfId="1" applyNumberFormat="1" applyFont="1" applyBorder="1" applyAlignment="1">
      <alignment horizontal="center" vertical="center"/>
    </xf>
    <xf numFmtId="16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xf>
    <xf numFmtId="0" fontId="0" fillId="0" borderId="0" xfId="0" pivotButton="1" applyAlignment="1">
      <alignment wrapText="1"/>
    </xf>
    <xf numFmtId="0" fontId="0" fillId="0" borderId="0" xfId="0" applyNumberFormat="1"/>
    <xf numFmtId="14" fontId="0" fillId="0" borderId="3" xfId="0" applyNumberFormat="1" applyBorder="1"/>
    <xf numFmtId="14" fontId="0" fillId="0" borderId="13" xfId="0" applyNumberFormat="1" applyBorder="1"/>
    <xf numFmtId="164" fontId="0" fillId="5" borderId="0" xfId="0" applyNumberFormat="1" applyFill="1" applyAlignment="1">
      <alignment horizontal="center"/>
    </xf>
    <xf numFmtId="0" fontId="2" fillId="0" borderId="0" xfId="0" applyFont="1" applyBorder="1"/>
    <xf numFmtId="0" fontId="2" fillId="0" borderId="0" xfId="0" applyFont="1" applyBorder="1" applyAlignment="1">
      <alignment wrapText="1"/>
    </xf>
    <xf numFmtId="0" fontId="7" fillId="0" borderId="0" xfId="0" applyFont="1"/>
    <xf numFmtId="0" fontId="8" fillId="0" borderId="0" xfId="0" applyFont="1"/>
    <xf numFmtId="0" fontId="9" fillId="0" borderId="0" xfId="0" applyFont="1"/>
    <xf numFmtId="0" fontId="14" fillId="0" borderId="0" xfId="0" applyFont="1"/>
    <xf numFmtId="164" fontId="0" fillId="7" borderId="22" xfId="0" applyNumberFormat="1" applyFill="1" applyBorder="1"/>
    <xf numFmtId="0" fontId="0" fillId="7" borderId="5" xfId="0" applyFill="1" applyBorder="1"/>
  </cellXfs>
  <cellStyles count="3">
    <cellStyle name="Гиперссылка" xfId="2" builtinId="8"/>
    <cellStyle name="Обычный" xfId="0" builtinId="0"/>
    <cellStyle name="Процентный" xfId="1" builtinId="5"/>
  </cellStyles>
  <dxfs count="52">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numFmt numFmtId="164" formatCode="#,##0.00\ &quot;₽&quot;"/>
    </dxf>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numFmt numFmtId="164" formatCode="#,##0.00\ &quot;₽&quot;"/>
    </dxf>
    <dxf>
      <numFmt numFmtId="164" formatCode="#,##0.00\ &quot;₽&quot;"/>
    </dxf>
    <dxf>
      <alignment wrapText="1"/>
    </dxf>
    <dxf>
      <alignment wrapText="1"/>
    </dxf>
    <dxf>
      <numFmt numFmtId="164" formatCode="#,##0.00\ &quot;₽&quot;"/>
    </dxf>
    <dxf>
      <numFmt numFmtId="164" formatCode="#,##0.00\ &quot;₽&quot;"/>
    </dxf>
    <dxf>
      <alignment wrapText="1"/>
    </dxf>
    <dxf>
      <alignment wrapText="1"/>
    </dxf>
    <dxf>
      <numFmt numFmtId="164" formatCode="#,##0.00\ &quot;₽&quot;"/>
    </dxf>
    <dxf>
      <numFmt numFmtId="164" formatCode="#,##0.00\ &quot;₽&quot;"/>
    </dxf>
    <dxf>
      <alignment wrapText="1"/>
    </dxf>
    <dxf>
      <alignment wrapText="1"/>
    </dxf>
  </dxfs>
  <tableStyles count="0" defaultTableStyle="TableStyleMedium2" defaultPivotStyle="PivotStyleLight16"/>
  <colors>
    <mruColors>
      <color rgb="FFF45E73"/>
      <color rgb="FF6EA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85;&#1077;&#1084;&#1094;&#1099;%20&#1074;&#1089;&#1077;%20&#1075;&#1086;&#1076;&#10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зультат запроса"/>
      <sheetName val="немцы все года"/>
    </sheetNames>
    <definedNames>
      <definedName name="Таблица2"/>
    </definedNames>
    <sheetDataSet>
      <sheetData sheetId="0"/>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ХхХххх" refreshedDate="44630.609953935185" createdVersion="5" refreshedVersion="7" minRefreshableVersion="3" recordCount="0" supportSubquery="1" supportAdvancedDrill="1" xr:uid="{7FE87A7F-6617-4105-8010-FA9364845AE0}">
  <cacheSource type="external" connectionId="1"/>
  <cacheFields count="9">
    <cacheField name="[Таблица2].[order_created_date (Месяц)].[order_created_date (Месяц)]" caption="order_created_date (Месяц)" numFmtId="0" hierarchy="16" level="1">
      <sharedItems count="12">
        <s v="янв"/>
        <s v="фев"/>
        <s v="мар"/>
        <s v="апр"/>
        <s v="май"/>
        <s v="июн"/>
        <s v="июл"/>
        <s v="авг"/>
        <s v="сен"/>
        <s v="окт"/>
        <s v="ноя"/>
        <s v="дек"/>
      </sharedItems>
    </cacheField>
    <cacheField name="[Measures].[Число разных элементов в столбце user_id]" caption="Число разных элементов в столбце user_id" numFmtId="0" hierarchy="21" level="32767"/>
    <cacheField name="[Measures].[Число элементов в столбце orders_number]" caption="Число элементов в столбце orders_number" numFmtId="0" hierarchy="23" level="32767"/>
    <cacheField name="[Таблица2].[order_created_date (Год)].[order_created_date (Год)]" caption="order_created_date (Год)" numFmtId="0" hierarchy="14" level="1">
      <sharedItems count="4">
        <s v="2019"/>
        <s v="2020"/>
        <s v="2021"/>
        <s v="2022"/>
      </sharedItems>
    </cacheField>
    <cacheField name="[Measures].[Сумма по столбцу transaction_value]" caption="Сумма по столбцу transaction_value" numFmtId="0" hierarchy="24" level="32767"/>
    <cacheField name="[Measures].[Сумма по столбцу processing_cost]" caption="Сумма по столбцу processing_cost" numFmtId="0" hierarchy="26" level="32767"/>
    <cacheField name="[Measures].[Сумма по столбцу promocode_cost]" caption="Сумма по столбцу promocode_cost" numFmtId="0" hierarchy="27" level="32767"/>
    <cacheField name="[Measures].[Сумма по столбцу intergtation_cost]" caption="Сумма по столбцу intergtation_cost" numFmtId="0" hierarchy="28" level="32767"/>
    <cacheField name="[Measures].[Сумма по столбцу commission]" caption="Сумма по столбцу commission" numFmtId="0" hierarchy="25" level="32767"/>
  </cacheFields>
  <cacheHierarchies count="31">
    <cacheHierarchy uniqueName="[Таблица2].[user_id]" caption="user_id" attribute="1" defaultMemberUniqueName="[Таблица2].[user_id].[All]" allUniqueName="[Таблица2].[user_id].[All]" dimensionUniqueName="[Таблица2]" displayFolder="" count="0" memberValueDatatype="20" unbalanced="0"/>
    <cacheHierarchy uniqueName="[Таблица2].[orders_number]" caption="orders_number" attribute="1" defaultMemberUniqueName="[Таблица2].[orders_number].[All]" allUniqueName="[Таблица2].[orders_number].[All]" dimensionUniqueName="[Таблица2]" displayFolder="" count="0" memberValueDatatype="20" unbalanced="0"/>
    <cacheHierarchy uniqueName="[Таблица2].[transaction_value]" caption="transaction_value" attribute="1" defaultMemberUniqueName="[Таблица2].[transaction_value].[All]" allUniqueName="[Таблица2].[transaction_value].[All]" dimensionUniqueName="[Таблица2]" displayFolder="" count="0" memberValueDatatype="20" unbalanced="0"/>
    <cacheHierarchy uniqueName="[Таблица2].[commission]" caption="commission" attribute="1" defaultMemberUniqueName="[Таблица2].[commission].[All]" allUniqueName="[Таблица2].[commission].[All]" dimensionUniqueName="[Таблица2]" displayFolder="" count="0" memberValueDatatype="5" unbalanced="0"/>
    <cacheHierarchy uniqueName="[Таблица2].[processing_cost]" caption="processing_cost" attribute="1" defaultMemberUniqueName="[Таблица2].[processing_cost].[All]" allUniqueName="[Таблица2].[processing_cost].[All]" dimensionUniqueName="[Таблица2]" displayFolder="" count="0" memberValueDatatype="5" unbalanced="0"/>
    <cacheHierarchy uniqueName="[Таблица2].[promocode_cost]" caption="promocode_cost" attribute="1" defaultMemberUniqueName="[Таблица2].[promocode_cost].[All]" allUniqueName="[Таблица2].[promocode_cost].[All]" dimensionUniqueName="[Таблица2]" displayFolder="" count="0" memberValueDatatype="20" unbalanced="0"/>
    <cacheHierarchy uniqueName="[Таблица2].[intergtation_cost]" caption="intergtation_cost" attribute="1" defaultMemberUniqueName="[Таблица2].[intergtation_cost].[All]" allUniqueName="[Таблица2].[intergtation_cost].[All]" dimensionUniqueName="[Таблица2]" displayFolder="" count="0" memberValueDatatype="5" unbalanced="0"/>
    <cacheHierarchy uniqueName="[Таблица2].[order_created_date]" caption="order_created_date" attribute="1" time="1" defaultMemberUniqueName="[Таблица2].[order_created_date].[All]" allUniqueName="[Таблица2].[order_created_date].[All]" dimensionUniqueName="[Таблица2]" displayFolder="" count="0" memberValueDatatype="7" unbalanced="0"/>
    <cacheHierarchy uniqueName="[Таблица2].[user_created_date]" caption="user_created_date" attribute="1" time="1" defaultMemberUniqueName="[Таблица2].[user_created_date].[All]" allUniqueName="[Таблица2].[user_created_date].[All]" dimensionUniqueName="[Таблица2]" displayFolder="" count="0" memberValueDatatype="7" unbalanced="0"/>
    <cacheHierarchy uniqueName="[Таблица2].[status]" caption="status" attribute="1" defaultMemberUniqueName="[Таблица2].[status].[All]" allUniqueName="[Таблица2].[status].[All]" dimensionUniqueName="[Таблица2]" displayFolder="" count="0" memberValueDatatype="130" unbalanced="0"/>
    <cacheHierarchy uniqueName="[Таблица2].[role]" caption="role" attribute="1" defaultMemberUniqueName="[Таблица2].[role].[All]" allUniqueName="[Таблица2].[role].[All]" dimensionUniqueName="[Таблица2]" displayFolder="" count="0" memberValueDatatype="130" unbalanced="0"/>
    <cacheHierarchy uniqueName="[Таблица2].[region_id]" caption="region_id" attribute="1" defaultMemberUniqueName="[Таблица2].[region_id].[All]" allUniqueName="[Таблица2].[region_id].[All]" dimensionUniqueName="[Таблица2]" displayFolder="" count="0" memberValueDatatype="20" unbalanced="0"/>
    <cacheHierarchy uniqueName="[Таблица2].[name]" caption="name" attribute="1" defaultMemberUniqueName="[Таблица2].[name].[All]" allUniqueName="[Таблица2].[name].[All]" dimensionUniqueName="[Таблица2]" displayFolder="" count="0" memberValueDatatype="130" unbalanced="0"/>
    <cacheHierarchy uniqueName="[Таблица2].[language]" caption="language" attribute="1" defaultMemberUniqueName="[Таблица2].[language].[All]" allUniqueName="[Таблица2].[language].[All]" dimensionUniqueName="[Таблица2]" displayFolder="" count="0" memberValueDatatype="130" unbalanced="0"/>
    <cacheHierarchy uniqueName="[Таблица2].[order_created_date (Год)]" caption="order_created_date (Год)" attribute="1" defaultMemberUniqueName="[Таблица2].[order_created_date (Год)].[All]" allUniqueName="[Таблица2].[order_created_date (Год)].[All]" dimensionUniqueName="[Таблица2]" displayFolder="" count="2" memberValueDatatype="130" unbalanced="0">
      <fieldsUsage count="2">
        <fieldUsage x="-1"/>
        <fieldUsage x="3"/>
      </fieldsUsage>
    </cacheHierarchy>
    <cacheHierarchy uniqueName="[Таблица2].[order_created_date (Квартал)]" caption="order_created_date (Квартал)" attribute="1" defaultMemberUniqueName="[Таблица2].[order_created_date (Квартал)].[All]" allUniqueName="[Таблица2].[order_created_date (Квартал)].[All]" dimensionUniqueName="[Таблица2]" displayFolder="" count="0" memberValueDatatype="130" unbalanced="0"/>
    <cacheHierarchy uniqueName="[Таблица2].[order_created_date (Месяц)]" caption="order_created_date (Месяц)" attribute="1" defaultMemberUniqueName="[Таблица2].[order_created_date (Месяц)].[All]" allUniqueName="[Таблица2].[order_created_date (Месяц)].[All]" dimensionUniqueName="[Таблица2]" displayFolder="" count="2" memberValueDatatype="130" unbalanced="0">
      <fieldsUsage count="2">
        <fieldUsage x="-1"/>
        <fieldUsage x="0"/>
      </fieldsUsage>
    </cacheHierarchy>
    <cacheHierarchy uniqueName="[Таблица2].[order_created_date (Индекс месяца)]" caption="order_created_date (Индекс месяца)" attribute="1" defaultMemberUniqueName="[Таблица2].[order_created_date (Индекс месяца)].[All]" allUniqueName="[Таблица2].[order_created_date (Индекс месяца)].[All]" dimensionUniqueName="[Таблица2]" displayFolder="" count="0" memberValueDatatype="20" unbalanced="0" hidden="1"/>
    <cacheHierarchy uniqueName="[Measures].[__XL_Count Таблица2]" caption="__XL_Count Таблица2" measure="1" displayFolder="" measureGroup="Таблица2" count="0" hidden="1"/>
    <cacheHierarchy uniqueName="[Measures].[__Не определено ни одной меры]" caption="__Не определено ни одной меры" measure="1" displayFolder="" count="0" hidden="1"/>
    <cacheHierarchy uniqueName="[Measures].[Сумма по столбцу user_id]" caption="Сумма по столбцу user_id" measure="1" displayFolder="" measureGroup="Таблица2" count="0" hidden="1">
      <extLst>
        <ext xmlns:x15="http://schemas.microsoft.com/office/spreadsheetml/2010/11/main" uri="{B97F6D7D-B522-45F9-BDA1-12C45D357490}">
          <x15:cacheHierarchy aggregatedColumn="0"/>
        </ext>
      </extLst>
    </cacheHierarchy>
    <cacheHierarchy uniqueName="[Measures].[Число разных элементов в столбце user_id]" caption="Число разных элементов в столбце user_id" measure="1" displayFolder="" measureGroup="Таблица2" count="0" oneField="1" hidden="1">
      <fieldsUsage count="1">
        <fieldUsage x="1"/>
      </fieldsUsage>
      <extLst>
        <ext xmlns:x15="http://schemas.microsoft.com/office/spreadsheetml/2010/11/main" uri="{B97F6D7D-B522-45F9-BDA1-12C45D357490}">
          <x15:cacheHierarchy aggregatedColumn="0"/>
        </ext>
      </extLst>
    </cacheHierarchy>
    <cacheHierarchy uniqueName="[Measures].[Сумма по столбцу orders_number]" caption="Сумма по столбцу orders_number" measure="1" displayFolder="" measureGroup="Таблица2" count="0" hidden="1">
      <extLst>
        <ext xmlns:x15="http://schemas.microsoft.com/office/spreadsheetml/2010/11/main" uri="{B97F6D7D-B522-45F9-BDA1-12C45D357490}">
          <x15:cacheHierarchy aggregatedColumn="1"/>
        </ext>
      </extLst>
    </cacheHierarchy>
    <cacheHierarchy uniqueName="[Measures].[Число элементов в столбце orders_number]" caption="Число элементов в столбце orders_number" measure="1" displayFolder="" measureGroup="Таблица2" count="0" oneField="1" hidden="1">
      <fieldsUsage count="1">
        <fieldUsage x="2"/>
      </fieldsUsage>
      <extLst>
        <ext xmlns:x15="http://schemas.microsoft.com/office/spreadsheetml/2010/11/main" uri="{B97F6D7D-B522-45F9-BDA1-12C45D357490}">
          <x15:cacheHierarchy aggregatedColumn="1"/>
        </ext>
      </extLst>
    </cacheHierarchy>
    <cacheHierarchy uniqueName="[Measures].[Сумма по столбцу transaction_value]" caption="Сумма по столбцу transaction_value" measure="1" displayFolder="" measureGroup="Таблица2" count="0" oneField="1" hidden="1">
      <fieldsUsage count="1">
        <fieldUsage x="4"/>
      </fieldsUsage>
      <extLst>
        <ext xmlns:x15="http://schemas.microsoft.com/office/spreadsheetml/2010/11/main" uri="{B97F6D7D-B522-45F9-BDA1-12C45D357490}">
          <x15:cacheHierarchy aggregatedColumn="2"/>
        </ext>
      </extLst>
    </cacheHierarchy>
    <cacheHierarchy uniqueName="[Measures].[Сумма по столбцу commission]" caption="Сумма по столбцу commission" measure="1" displayFolder="" measureGroup="Таблица2" count="0" oneField="1" hidden="1">
      <fieldsUsage count="1">
        <fieldUsage x="8"/>
      </fieldsUsage>
      <extLst>
        <ext xmlns:x15="http://schemas.microsoft.com/office/spreadsheetml/2010/11/main" uri="{B97F6D7D-B522-45F9-BDA1-12C45D357490}">
          <x15:cacheHierarchy aggregatedColumn="3"/>
        </ext>
      </extLst>
    </cacheHierarchy>
    <cacheHierarchy uniqueName="[Measures].[Сумма по столбцу processing_cost]" caption="Сумма по столбцу processing_cost" measure="1" displayFolder="" measureGroup="Таблица2" count="0" oneField="1" hidden="1">
      <fieldsUsage count="1">
        <fieldUsage x="5"/>
      </fieldsUsage>
      <extLst>
        <ext xmlns:x15="http://schemas.microsoft.com/office/spreadsheetml/2010/11/main" uri="{B97F6D7D-B522-45F9-BDA1-12C45D357490}">
          <x15:cacheHierarchy aggregatedColumn="4"/>
        </ext>
      </extLst>
    </cacheHierarchy>
    <cacheHierarchy uniqueName="[Measures].[Сумма по столбцу promocode_cost]" caption="Сумма по столбцу promocode_cost" measure="1" displayFolder="" measureGroup="Таблица2" count="0" oneField="1" hidden="1">
      <fieldsUsage count="1">
        <fieldUsage x="6"/>
      </fieldsUsage>
      <extLst>
        <ext xmlns:x15="http://schemas.microsoft.com/office/spreadsheetml/2010/11/main" uri="{B97F6D7D-B522-45F9-BDA1-12C45D357490}">
          <x15:cacheHierarchy aggregatedColumn="5"/>
        </ext>
      </extLst>
    </cacheHierarchy>
    <cacheHierarchy uniqueName="[Measures].[Сумма по столбцу intergtation_cost]" caption="Сумма по столбцу intergtation_cost" measure="1" displayFolder="" measureGroup="Таблица2" count="0" oneField="1" hidden="1">
      <fieldsUsage count="1">
        <fieldUsage x="7"/>
      </fieldsUsage>
      <extLst>
        <ext xmlns:x15="http://schemas.microsoft.com/office/spreadsheetml/2010/11/main" uri="{B97F6D7D-B522-45F9-BDA1-12C45D357490}">
          <x15:cacheHierarchy aggregatedColumn="6"/>
        </ext>
      </extLst>
    </cacheHierarchy>
    <cacheHierarchy uniqueName="[Measures].[Число элементов в столбце user_created_date]" caption="Число элементов в столбце user_created_date" measure="1" displayFolder="" measureGroup="Таблица2" count="0" hidden="1">
      <extLst>
        <ext xmlns:x15="http://schemas.microsoft.com/office/spreadsheetml/2010/11/main" uri="{B97F6D7D-B522-45F9-BDA1-12C45D357490}">
          <x15:cacheHierarchy aggregatedColumn="8"/>
        </ext>
      </extLst>
    </cacheHierarchy>
    <cacheHierarchy uniqueName="[Measures].[Среднее по столбцу orders_number]" caption="Среднее по столбцу orders_number" measure="1" displayFolder="" measureGroup="Таблица2"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Таблица2" uniqueName="[Таблица2]" caption="Таблица2"/>
  </dimensions>
  <measureGroups count="1">
    <measureGroup name="Таблица2" caption="Таблица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42ED3E-38E5-42D1-B788-730939FBE44F}" name="Сводная таблица4" cacheId="320" applyNumberFormats="0" applyBorderFormats="0" applyFontFormats="0" applyPatternFormats="0" applyAlignmentFormats="0" applyWidthHeightFormats="1" dataCaption="Значения" tag="3cace91d-ff5a-4dd6-8e50-5d998b646e69" updatedVersion="7" minRefreshableVersion="3" useAutoFormatting="1" itemPrintTitles="1" createdVersion="5" indent="0" outline="1" outlineData="1" multipleFieldFilters="0">
  <location ref="A1:H49" firstHeaderRow="0" firstDataRow="1" firstDataCol="1"/>
  <pivotFields count="9">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xis="axisRow" allDrilled="1" subtotalTop="0" showAll="0" dataSourceSort="1" defaultAttributeDrillState="1">
      <items count="5">
        <item x="0"/>
        <item x="1"/>
        <item x="2"/>
        <item x="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3"/>
    <field x="0"/>
  </rowFields>
  <rowItems count="48">
    <i>
      <x/>
    </i>
    <i r="1">
      <x/>
    </i>
    <i r="1">
      <x v="1"/>
    </i>
    <i r="1">
      <x v="2"/>
    </i>
    <i r="1">
      <x v="3"/>
    </i>
    <i r="1">
      <x v="4"/>
    </i>
    <i r="1">
      <x v="5"/>
    </i>
    <i r="1">
      <x v="6"/>
    </i>
    <i r="1">
      <x v="7"/>
    </i>
    <i r="1">
      <x v="8"/>
    </i>
    <i r="1">
      <x v="9"/>
    </i>
    <i r="1">
      <x v="10"/>
    </i>
    <i r="1">
      <x v="11"/>
    </i>
    <i t="default">
      <x/>
    </i>
    <i>
      <x v="1"/>
    </i>
    <i r="1">
      <x/>
    </i>
    <i r="1">
      <x v="1"/>
    </i>
    <i r="1">
      <x v="2"/>
    </i>
    <i r="1">
      <x v="3"/>
    </i>
    <i r="1">
      <x v="4"/>
    </i>
    <i r="1">
      <x v="5"/>
    </i>
    <i r="1">
      <x v="6"/>
    </i>
    <i r="1">
      <x v="7"/>
    </i>
    <i r="1">
      <x v="8"/>
    </i>
    <i r="1">
      <x v="9"/>
    </i>
    <i r="1">
      <x v="10"/>
    </i>
    <i r="1">
      <x v="11"/>
    </i>
    <i t="default">
      <x v="1"/>
    </i>
    <i>
      <x v="2"/>
    </i>
    <i r="1">
      <x/>
    </i>
    <i r="1">
      <x v="1"/>
    </i>
    <i r="1">
      <x v="2"/>
    </i>
    <i r="1">
      <x v="3"/>
    </i>
    <i r="1">
      <x v="4"/>
    </i>
    <i r="1">
      <x v="5"/>
    </i>
    <i r="1">
      <x v="6"/>
    </i>
    <i r="1">
      <x v="7"/>
    </i>
    <i r="1">
      <x v="8"/>
    </i>
    <i r="1">
      <x v="9"/>
    </i>
    <i r="1">
      <x v="10"/>
    </i>
    <i r="1">
      <x v="11"/>
    </i>
    <i t="default">
      <x v="2"/>
    </i>
    <i>
      <x v="3"/>
    </i>
    <i r="1">
      <x/>
    </i>
    <i r="1">
      <x v="1"/>
    </i>
    <i r="1">
      <x v="2"/>
    </i>
    <i t="default">
      <x v="3"/>
    </i>
    <i t="grand">
      <x/>
    </i>
  </rowItems>
  <colFields count="1">
    <field x="-2"/>
  </colFields>
  <colItems count="7">
    <i>
      <x/>
    </i>
    <i i="1">
      <x v="1"/>
    </i>
    <i i="2">
      <x v="2"/>
    </i>
    <i i="3">
      <x v="3"/>
    </i>
    <i i="4">
      <x v="4"/>
    </i>
    <i i="5">
      <x v="5"/>
    </i>
    <i i="6">
      <x v="6"/>
    </i>
  </colItems>
  <dataFields count="7">
    <dataField name="Количество пользователей делавших покупки" fld="1" subtotal="count" baseField="3" baseItem="0">
      <extLst>
        <ext xmlns:x15="http://schemas.microsoft.com/office/spreadsheetml/2010/11/main" uri="{FABC7310-3BB5-11E1-824E-6D434824019B}">
          <x15:dataField isCountDistinct="1"/>
        </ext>
      </extLst>
    </dataField>
    <dataField name="Количество покупок" fld="2" subtotal="count" baseField="3" baseItem="0"/>
    <dataField name="Сумма по столбцу transaction_value" fld="4" baseField="3" baseItem="0" numFmtId="164"/>
    <dataField name="Сумма по столбцу processing_cost" fld="5" baseField="0" baseItem="3" numFmtId="164"/>
    <dataField name="Сумма по столбцу promocode_cost" fld="6" baseField="0" baseItem="3" numFmtId="164"/>
    <dataField name="Сумма по столбцу intergtation_cost" fld="7" baseField="0" baseItem="3" numFmtId="164"/>
    <dataField name="Сумма по столбцу commission" fld="8" baseField="0" baseItem="0" numFmtId="164"/>
  </dataFields>
  <formats count="8">
    <format dxfId="48">
      <pivotArea dataOnly="0" labelOnly="1" fieldPosition="0">
        <references count="1">
          <reference field="3" count="1">
            <x v="0"/>
          </reference>
        </references>
      </pivotArea>
    </format>
    <format dxfId="49">
      <pivotArea outline="0" fieldPosition="0">
        <references count="1">
          <reference field="4294967294" count="1">
            <x v="2"/>
          </reference>
        </references>
      </pivotArea>
    </format>
    <format dxfId="50">
      <pivotArea field="3" type="button" dataOnly="0" labelOnly="1" outline="0" axis="axisRow" fieldPosition="0"/>
    </format>
    <format dxfId="51">
      <pivotArea dataOnly="0" labelOnly="1" outline="0" fieldPosition="0">
        <references count="1">
          <reference field="4294967294" count="3">
            <x v="0"/>
            <x v="1"/>
            <x v="2"/>
          </reference>
        </references>
      </pivotArea>
    </format>
    <format dxfId="39">
      <pivotArea outline="0" fieldPosition="0">
        <references count="1">
          <reference field="4294967294" count="1">
            <x v="3"/>
          </reference>
        </references>
      </pivotArea>
    </format>
    <format dxfId="28">
      <pivotArea outline="0" fieldPosition="0">
        <references count="1">
          <reference field="4294967294" count="1">
            <x v="4"/>
          </reference>
        </references>
      </pivotArea>
    </format>
    <format dxfId="15">
      <pivotArea outline="0" fieldPosition="0">
        <references count="1">
          <reference field="4294967294" count="1">
            <x v="5"/>
          </reference>
        </references>
      </pivotArea>
    </format>
    <format dxfId="0">
      <pivotArea outline="0" fieldPosition="0">
        <references count="1">
          <reference field="4294967294" count="1">
            <x v="6"/>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Количество пользователей делавших покупки"/>
    <pivotHierarchy dragToData="1"/>
    <pivotHierarchy dragToData="1" caption="Число элементов в столбце orders_number"/>
    <pivotHierarchy dragToData="1"/>
    <pivotHierarchy dragToData="1"/>
    <pivotHierarchy dragToData="1"/>
    <pivotHierarchy dragToData="1"/>
    <pivotHierarchy dragToData="1"/>
    <pivotHierarchy dragToData="1"/>
    <pivotHierarchy dragToData="1" caption="Среднее по столбцу orders_number"/>
  </pivotHierarchies>
  <pivotTableStyleInfo name="PivotStyleLight21" showRowHeaders="1" showColHeaders="1" showRowStripes="0" showColStripes="0" showLastColumn="1"/>
  <rowHierarchiesUsage count="2">
    <rowHierarchyUsage hierarchyUsage="14"/>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Таблица2]"/>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tabase.sky.pro/question/14515" TargetMode="External"/><Relationship Id="rId2" Type="http://schemas.openxmlformats.org/officeDocument/2006/relationships/hyperlink" Target="https://metabase.sky.pro/question/14513" TargetMode="External"/><Relationship Id="rId1" Type="http://schemas.openxmlformats.org/officeDocument/2006/relationships/hyperlink" Target="https://metabase.sky.pro/question/14290"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zoomScale="85" zoomScaleNormal="85" workbookViewId="0">
      <selection activeCell="E34" sqref="E34"/>
    </sheetView>
  </sheetViews>
  <sheetFormatPr defaultRowHeight="15" x14ac:dyDescent="0.25"/>
  <cols>
    <col min="1" max="1" width="38.140625" customWidth="1"/>
    <col min="2" max="2" width="23.28515625" customWidth="1"/>
    <col min="3" max="3" width="37.5703125" bestFit="1" customWidth="1"/>
    <col min="4" max="4" width="23.7109375" bestFit="1" customWidth="1"/>
    <col min="5" max="5" width="22.5703125" bestFit="1" customWidth="1"/>
    <col min="6" max="6" width="26.140625" bestFit="1" customWidth="1"/>
    <col min="7" max="7" width="22.28515625" bestFit="1" customWidth="1"/>
    <col min="8" max="8" width="15.42578125" bestFit="1" customWidth="1"/>
    <col min="9" max="9" width="12" bestFit="1" customWidth="1"/>
    <col min="10" max="10" width="12.140625" bestFit="1" customWidth="1"/>
  </cols>
  <sheetData>
    <row r="1" spans="1:10" x14ac:dyDescent="0.25">
      <c r="A1" s="27" t="s">
        <v>38</v>
      </c>
      <c r="B1" s="28"/>
      <c r="C1" s="29"/>
    </row>
    <row r="2" spans="1:10" x14ac:dyDescent="0.25">
      <c r="A2" s="30" t="s">
        <v>39</v>
      </c>
      <c r="B2" s="31" t="s">
        <v>40</v>
      </c>
      <c r="C2" s="32"/>
      <c r="D2" s="2"/>
      <c r="F2" s="2"/>
      <c r="G2" s="2"/>
      <c r="H2" s="2"/>
      <c r="I2" s="1"/>
      <c r="J2" s="1"/>
    </row>
    <row r="3" spans="1:10" x14ac:dyDescent="0.25">
      <c r="A3" s="30" t="s">
        <v>0</v>
      </c>
      <c r="B3" s="33">
        <v>798</v>
      </c>
      <c r="C3" s="34"/>
    </row>
    <row r="4" spans="1:10" x14ac:dyDescent="0.25">
      <c r="A4" s="30" t="s">
        <v>1</v>
      </c>
      <c r="B4" s="33">
        <v>1463</v>
      </c>
      <c r="C4" s="34"/>
    </row>
    <row r="5" spans="1:10" x14ac:dyDescent="0.25">
      <c r="A5" s="30" t="s">
        <v>10</v>
      </c>
      <c r="B5" s="35">
        <v>1.8333333333333333</v>
      </c>
      <c r="C5" s="34"/>
    </row>
    <row r="6" spans="1:10" x14ac:dyDescent="0.25">
      <c r="A6" s="30" t="s">
        <v>3</v>
      </c>
      <c r="B6" s="36">
        <v>743570.973</v>
      </c>
      <c r="C6" s="34"/>
    </row>
    <row r="7" spans="1:10" x14ac:dyDescent="0.25">
      <c r="A7" s="30" t="s">
        <v>4</v>
      </c>
      <c r="B7" s="36">
        <v>7418722</v>
      </c>
      <c r="C7" s="34"/>
    </row>
    <row r="8" spans="1:10" x14ac:dyDescent="0.25">
      <c r="A8" s="30" t="s">
        <v>5</v>
      </c>
      <c r="B8" s="36">
        <v>476007.35279999999</v>
      </c>
      <c r="C8" s="34"/>
    </row>
    <row r="9" spans="1:10" x14ac:dyDescent="0.25">
      <c r="A9" s="30" t="s">
        <v>6</v>
      </c>
      <c r="B9" s="36">
        <v>109650</v>
      </c>
      <c r="C9" s="34"/>
    </row>
    <row r="10" spans="1:10" x14ac:dyDescent="0.25">
      <c r="A10" s="30" t="s">
        <v>7</v>
      </c>
      <c r="B10" s="36">
        <v>585657.35279999999</v>
      </c>
      <c r="C10" s="34"/>
    </row>
    <row r="11" spans="1:10" x14ac:dyDescent="0.25">
      <c r="A11" s="30" t="s">
        <v>8</v>
      </c>
      <c r="B11" s="37">
        <v>0.1002289845879115</v>
      </c>
      <c r="C11" s="34"/>
    </row>
    <row r="12" spans="1:10" ht="15.75" thickBot="1" x14ac:dyDescent="0.3">
      <c r="A12" s="38" t="s">
        <v>9</v>
      </c>
      <c r="B12" s="39">
        <v>7.8943159320432818E-2</v>
      </c>
      <c r="C12" s="40"/>
    </row>
    <row r="13" spans="1:10" ht="15.75" thickBot="1" x14ac:dyDescent="0.3"/>
    <row r="14" spans="1:10" x14ac:dyDescent="0.25">
      <c r="A14" s="27" t="s">
        <v>41</v>
      </c>
      <c r="B14" s="28"/>
      <c r="C14" s="29"/>
    </row>
    <row r="15" spans="1:10" x14ac:dyDescent="0.25">
      <c r="A15" s="30" t="s">
        <v>39</v>
      </c>
      <c r="B15" s="31" t="s">
        <v>42</v>
      </c>
      <c r="C15" s="34"/>
    </row>
    <row r="16" spans="1:10" x14ac:dyDescent="0.25">
      <c r="A16" s="30" t="s">
        <v>0</v>
      </c>
      <c r="B16" s="33">
        <v>84</v>
      </c>
      <c r="C16" s="34"/>
    </row>
    <row r="17" spans="1:3" x14ac:dyDescent="0.25">
      <c r="A17" s="30" t="s">
        <v>1</v>
      </c>
      <c r="B17" s="33">
        <v>169</v>
      </c>
      <c r="C17" s="34"/>
    </row>
    <row r="18" spans="1:3" x14ac:dyDescent="0.25">
      <c r="A18" s="30" t="s">
        <v>10</v>
      </c>
      <c r="B18" s="33">
        <v>2.0119047619047619</v>
      </c>
      <c r="C18" s="34"/>
    </row>
    <row r="19" spans="1:3" x14ac:dyDescent="0.25">
      <c r="A19" s="30" t="s">
        <v>3</v>
      </c>
      <c r="B19" s="33">
        <v>83926.456000000006</v>
      </c>
      <c r="C19" s="34"/>
    </row>
    <row r="20" spans="1:3" x14ac:dyDescent="0.25">
      <c r="A20" s="30" t="s">
        <v>4</v>
      </c>
      <c r="B20" s="33">
        <v>841260</v>
      </c>
      <c r="C20" s="34"/>
    </row>
    <row r="21" spans="1:3" x14ac:dyDescent="0.25">
      <c r="A21" s="30" t="s">
        <v>5</v>
      </c>
      <c r="B21" s="33">
        <v>54927.600899999998</v>
      </c>
      <c r="C21" s="34"/>
    </row>
    <row r="22" spans="1:3" x14ac:dyDescent="0.25">
      <c r="A22" s="30" t="s">
        <v>6</v>
      </c>
      <c r="B22" s="33">
        <v>12250</v>
      </c>
      <c r="C22" s="34"/>
    </row>
    <row r="23" spans="1:3" x14ac:dyDescent="0.25">
      <c r="A23" s="30" t="s">
        <v>7</v>
      </c>
      <c r="B23" s="33">
        <v>67177.600900000005</v>
      </c>
      <c r="C23" s="34"/>
    </row>
    <row r="24" spans="1:3" x14ac:dyDescent="0.25">
      <c r="A24" s="30" t="s">
        <v>8</v>
      </c>
      <c r="B24" s="37">
        <v>9.9762803413926723E-2</v>
      </c>
      <c r="C24" s="34"/>
    </row>
    <row r="25" spans="1:3" ht="15.75" thickBot="1" x14ac:dyDescent="0.3">
      <c r="A25" s="38" t="s">
        <v>9</v>
      </c>
      <c r="B25" s="39">
        <v>7.9853554073651425E-2</v>
      </c>
      <c r="C25" s="40"/>
    </row>
    <row r="27" spans="1:3" ht="15.75" thickBot="1" x14ac:dyDescent="0.3"/>
    <row r="28" spans="1:3" x14ac:dyDescent="0.25">
      <c r="A28" s="27" t="s">
        <v>52</v>
      </c>
      <c r="B28" s="28"/>
      <c r="C28" s="29"/>
    </row>
    <row r="29" spans="1:3" x14ac:dyDescent="0.25">
      <c r="A29" s="30" t="s">
        <v>39</v>
      </c>
      <c r="B29" s="31" t="s">
        <v>53</v>
      </c>
      <c r="C29" s="34"/>
    </row>
    <row r="30" spans="1:3" x14ac:dyDescent="0.25">
      <c r="A30" s="30" t="s">
        <v>0</v>
      </c>
      <c r="B30" s="33">
        <v>714</v>
      </c>
      <c r="C30" s="34"/>
    </row>
    <row r="31" spans="1:3" x14ac:dyDescent="0.25">
      <c r="A31" s="30" t="s">
        <v>1</v>
      </c>
      <c r="B31" s="33">
        <v>1294</v>
      </c>
      <c r="C31" s="34"/>
    </row>
    <row r="32" spans="1:3" x14ac:dyDescent="0.25">
      <c r="A32" s="30" t="s">
        <v>10</v>
      </c>
      <c r="B32" s="33">
        <v>1.8123249299719888</v>
      </c>
      <c r="C32" s="34"/>
    </row>
    <row r="33" spans="1:3" x14ac:dyDescent="0.25">
      <c r="A33" s="30" t="s">
        <v>3</v>
      </c>
      <c r="B33" s="36">
        <v>659644.51699999999</v>
      </c>
      <c r="C33" s="34"/>
    </row>
    <row r="34" spans="1:3" x14ac:dyDescent="0.25">
      <c r="A34" s="30" t="s">
        <v>4</v>
      </c>
      <c r="B34" s="36">
        <v>6577462</v>
      </c>
      <c r="C34" s="34"/>
    </row>
    <row r="35" spans="1:3" x14ac:dyDescent="0.25">
      <c r="A35" s="30" t="s">
        <v>5</v>
      </c>
      <c r="B35" s="36">
        <v>421079.75189999997</v>
      </c>
      <c r="C35" s="34"/>
    </row>
    <row r="36" spans="1:3" x14ac:dyDescent="0.25">
      <c r="A36" s="30" t="s">
        <v>6</v>
      </c>
      <c r="B36" s="36">
        <v>97400</v>
      </c>
      <c r="C36" s="34"/>
    </row>
    <row r="37" spans="1:3" x14ac:dyDescent="0.25">
      <c r="A37" s="30" t="s">
        <v>7</v>
      </c>
      <c r="B37" s="36">
        <v>518479.75189999997</v>
      </c>
      <c r="C37" s="34"/>
    </row>
    <row r="38" spans="1:3" x14ac:dyDescent="0.25">
      <c r="A38" s="30" t="s">
        <v>8</v>
      </c>
      <c r="B38" s="37">
        <v>0.10028860934506349</v>
      </c>
      <c r="C38" s="34"/>
    </row>
    <row r="39" spans="1:3" ht="15.75" thickBot="1" x14ac:dyDescent="0.3">
      <c r="A39" s="38" t="s">
        <v>9</v>
      </c>
      <c r="B39" s="39">
        <v>7.8826719470215106E-2</v>
      </c>
      <c r="C39" s="40"/>
    </row>
  </sheetData>
  <hyperlinks>
    <hyperlink ref="B2" r:id="rId1" xr:uid="{ADC77708-4725-4E3B-8D9D-F5372593E1D0}"/>
    <hyperlink ref="B15" r:id="rId2" xr:uid="{96E1A99B-5BC2-42DB-8FCB-F7496E6350B8}"/>
    <hyperlink ref="B29" r:id="rId3" xr:uid="{DCCBAA5D-D04E-4D0D-9DB9-D56FDF05364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C6B19-F543-4DA9-83D6-07B3635FED0A}">
  <dimension ref="A1:S28"/>
  <sheetViews>
    <sheetView zoomScale="85" zoomScaleNormal="85" workbookViewId="0">
      <selection activeCell="E11" sqref="E11"/>
    </sheetView>
  </sheetViews>
  <sheetFormatPr defaultRowHeight="15" x14ac:dyDescent="0.25"/>
  <cols>
    <col min="1" max="1" width="58.140625" customWidth="1"/>
    <col min="2" max="2" width="13.140625" bestFit="1" customWidth="1"/>
    <col min="4" max="4" width="18.7109375" customWidth="1"/>
    <col min="5" max="5" width="15.85546875" customWidth="1"/>
    <col min="6" max="6" width="12" customWidth="1"/>
    <col min="7" max="7" width="12.140625" customWidth="1"/>
    <col min="8" max="8" width="22.5703125" customWidth="1"/>
    <col min="9" max="9" width="13.7109375" customWidth="1"/>
    <col min="10" max="10" width="13.140625" bestFit="1" customWidth="1"/>
    <col min="11" max="11" width="17.5703125" customWidth="1"/>
    <col min="12" max="12" width="19.140625" customWidth="1"/>
    <col min="13" max="13" width="19.7109375" customWidth="1"/>
    <col min="14" max="14" width="16.85546875" customWidth="1"/>
    <col min="15" max="15" width="19" customWidth="1"/>
    <col min="16" max="16" width="21" customWidth="1"/>
    <col min="17" max="17" width="16.140625" bestFit="1" customWidth="1"/>
    <col min="18" max="18" width="12.140625" customWidth="1"/>
  </cols>
  <sheetData>
    <row r="1" spans="1:19" ht="15.75" thickBot="1" x14ac:dyDescent="0.3">
      <c r="A1" s="19" t="s">
        <v>34</v>
      </c>
      <c r="B1" s="19" t="s">
        <v>33</v>
      </c>
      <c r="E1" s="42" t="s">
        <v>44</v>
      </c>
      <c r="F1" s="43"/>
      <c r="G1" s="43"/>
      <c r="H1" s="43"/>
      <c r="I1" s="43"/>
      <c r="J1" s="43"/>
      <c r="K1" s="43"/>
      <c r="L1" s="43"/>
      <c r="M1" s="43"/>
      <c r="N1" s="43"/>
      <c r="O1" s="43"/>
      <c r="P1" s="43"/>
      <c r="Q1" s="43"/>
    </row>
    <row r="2" spans="1:19" ht="36" customHeight="1" x14ac:dyDescent="0.25">
      <c r="A2" s="18" t="s">
        <v>35</v>
      </c>
      <c r="B2" s="20">
        <v>798</v>
      </c>
      <c r="E2" s="10" t="s">
        <v>13</v>
      </c>
      <c r="F2" s="10" t="s">
        <v>12</v>
      </c>
      <c r="G2" s="10" t="s">
        <v>14</v>
      </c>
      <c r="H2" s="10" t="s">
        <v>15</v>
      </c>
      <c r="I2" s="10" t="s">
        <v>16</v>
      </c>
      <c r="J2" s="10" t="s">
        <v>19</v>
      </c>
      <c r="K2" s="10" t="s">
        <v>20</v>
      </c>
      <c r="L2" s="10" t="s">
        <v>45</v>
      </c>
      <c r="M2" s="10" t="s">
        <v>21</v>
      </c>
      <c r="N2" s="48" t="s">
        <v>22</v>
      </c>
      <c r="O2" s="49" t="s">
        <v>46</v>
      </c>
      <c r="P2" s="50" t="s">
        <v>47</v>
      </c>
      <c r="Q2" s="51" t="s">
        <v>22</v>
      </c>
      <c r="R2" s="3"/>
      <c r="S2" s="3"/>
    </row>
    <row r="3" spans="1:19" x14ac:dyDescent="0.25">
      <c r="A3" s="18" t="s">
        <v>1</v>
      </c>
      <c r="B3" s="20">
        <v>1463</v>
      </c>
      <c r="E3" s="11">
        <v>1</v>
      </c>
      <c r="F3" s="11">
        <v>10</v>
      </c>
      <c r="G3" s="14">
        <v>3000</v>
      </c>
      <c r="H3" s="14">
        <f>F3*G3*E3</f>
        <v>30000</v>
      </c>
      <c r="I3" s="14">
        <f>H3*$B$10</f>
        <v>3006.8695376373453</v>
      </c>
      <c r="J3" s="14">
        <f>H3*$B$11</f>
        <v>2368.2947796129847</v>
      </c>
      <c r="K3" s="14">
        <f>I3-J3</f>
        <v>638.57475802436056</v>
      </c>
      <c r="L3" s="14">
        <f>H3*$B$13</f>
        <v>300</v>
      </c>
      <c r="M3" s="14">
        <f t="shared" ref="M3:M13" si="0">K3-L3</f>
        <v>338.57475802436056</v>
      </c>
      <c r="N3" s="72">
        <f>M3-$B$12</f>
        <v>-49661.425241975638</v>
      </c>
      <c r="O3" s="54">
        <f>H3*$B$14</f>
        <v>456</v>
      </c>
      <c r="P3" s="36">
        <f>K3-O3</f>
        <v>182.57475802436056</v>
      </c>
      <c r="Q3" s="8">
        <f>P3-$B$12</f>
        <v>-49817.425241975638</v>
      </c>
    </row>
    <row r="4" spans="1:19" x14ac:dyDescent="0.25">
      <c r="A4" s="18" t="s">
        <v>10</v>
      </c>
      <c r="B4" s="21">
        <v>1.8333333333333333</v>
      </c>
      <c r="E4" s="12">
        <f>E3+1</f>
        <v>2</v>
      </c>
      <c r="F4" s="12">
        <v>10</v>
      </c>
      <c r="G4" s="15">
        <v>3000</v>
      </c>
      <c r="H4" s="15">
        <f>F4*G4*E4</f>
        <v>60000</v>
      </c>
      <c r="I4" s="15">
        <f>H4*$B$10</f>
        <v>6013.7390752746905</v>
      </c>
      <c r="J4" s="15">
        <f>H4*$B$11</f>
        <v>4736.5895592259694</v>
      </c>
      <c r="K4" s="15">
        <f>I4-J4</f>
        <v>1277.1495160487211</v>
      </c>
      <c r="L4" s="15">
        <f t="shared" ref="L4:L12" si="1">H4*$B$13</f>
        <v>600</v>
      </c>
      <c r="M4" s="15">
        <f t="shared" si="0"/>
        <v>677.14951604872113</v>
      </c>
      <c r="N4" s="46">
        <f>M4-$B$12</f>
        <v>-49322.850483951275</v>
      </c>
      <c r="O4" s="54">
        <f t="shared" ref="O4:O13" si="2">H4*$B$14</f>
        <v>912</v>
      </c>
      <c r="P4" s="36">
        <f t="shared" ref="P4:P13" si="3">K4-O4</f>
        <v>365.14951604872113</v>
      </c>
      <c r="Q4" s="8">
        <f t="shared" ref="Q4:Q13" si="4">P4-$B$12</f>
        <v>-49634.850483951275</v>
      </c>
    </row>
    <row r="5" spans="1:19" x14ac:dyDescent="0.25">
      <c r="A5" s="18" t="s">
        <v>3</v>
      </c>
      <c r="B5" s="22">
        <v>743570.973</v>
      </c>
      <c r="E5" s="12">
        <v>10</v>
      </c>
      <c r="F5" s="12">
        <v>10</v>
      </c>
      <c r="G5" s="15">
        <v>3000</v>
      </c>
      <c r="H5" s="15">
        <f t="shared" ref="H5:H11" si="5">F5*G5*E5</f>
        <v>300000</v>
      </c>
      <c r="I5" s="15">
        <f t="shared" ref="I5:I11" si="6">H5*$B$10</f>
        <v>30068.695376373453</v>
      </c>
      <c r="J5" s="15">
        <f t="shared" ref="J5:J11" si="7">H5*$B$11</f>
        <v>23682.947796129847</v>
      </c>
      <c r="K5" s="15">
        <f t="shared" ref="K5:K11" si="8">I5-J5</f>
        <v>6385.7475802436056</v>
      </c>
      <c r="L5" s="15">
        <f t="shared" si="1"/>
        <v>3000</v>
      </c>
      <c r="M5" s="15">
        <f t="shared" si="0"/>
        <v>3385.7475802436056</v>
      </c>
      <c r="N5" s="46">
        <f t="shared" ref="N5:N11" si="9">M5-$B$12</f>
        <v>-46614.252419756391</v>
      </c>
      <c r="O5" s="54">
        <f t="shared" si="2"/>
        <v>4560</v>
      </c>
      <c r="P5" s="36">
        <f t="shared" si="3"/>
        <v>1825.7475802436056</v>
      </c>
      <c r="Q5" s="8">
        <f t="shared" si="4"/>
        <v>-48174.252419756391</v>
      </c>
    </row>
    <row r="6" spans="1:19" x14ac:dyDescent="0.25">
      <c r="A6" s="18" t="s">
        <v>4</v>
      </c>
      <c r="B6" s="22">
        <v>7418722</v>
      </c>
      <c r="E6" s="12">
        <v>20</v>
      </c>
      <c r="F6" s="12">
        <v>10</v>
      </c>
      <c r="G6" s="15">
        <v>3000</v>
      </c>
      <c r="H6" s="15">
        <f t="shared" si="5"/>
        <v>600000</v>
      </c>
      <c r="I6" s="15">
        <f t="shared" si="6"/>
        <v>60137.390752746905</v>
      </c>
      <c r="J6" s="15">
        <f t="shared" si="7"/>
        <v>47365.895592259694</v>
      </c>
      <c r="K6" s="15">
        <f t="shared" si="8"/>
        <v>12771.495160487211</v>
      </c>
      <c r="L6" s="15">
        <f t="shared" si="1"/>
        <v>6000</v>
      </c>
      <c r="M6" s="15">
        <f t="shared" si="0"/>
        <v>6771.4951604872113</v>
      </c>
      <c r="N6" s="46">
        <f t="shared" si="9"/>
        <v>-43228.504839512789</v>
      </c>
      <c r="O6" s="54">
        <f t="shared" si="2"/>
        <v>9120</v>
      </c>
      <c r="P6" s="36">
        <f t="shared" si="3"/>
        <v>3651.4951604872113</v>
      </c>
      <c r="Q6" s="8">
        <f t="shared" si="4"/>
        <v>-46348.504839512789</v>
      </c>
    </row>
    <row r="7" spans="1:19" x14ac:dyDescent="0.25">
      <c r="A7" s="18" t="s">
        <v>5</v>
      </c>
      <c r="B7" s="22">
        <v>476007.35279999999</v>
      </c>
      <c r="E7" s="12">
        <v>30</v>
      </c>
      <c r="F7" s="12">
        <v>10</v>
      </c>
      <c r="G7" s="15">
        <v>3000</v>
      </c>
      <c r="H7" s="15">
        <f t="shared" si="5"/>
        <v>900000</v>
      </c>
      <c r="I7" s="15">
        <f t="shared" si="6"/>
        <v>90206.086129120347</v>
      </c>
      <c r="J7" s="15">
        <f t="shared" si="7"/>
        <v>71048.843388389534</v>
      </c>
      <c r="K7" s="15">
        <f t="shared" si="8"/>
        <v>19157.242740730813</v>
      </c>
      <c r="L7" s="15">
        <f t="shared" si="1"/>
        <v>9000</v>
      </c>
      <c r="M7" s="15">
        <f t="shared" si="0"/>
        <v>10157.242740730813</v>
      </c>
      <c r="N7" s="46">
        <f t="shared" si="9"/>
        <v>-39842.757259269187</v>
      </c>
      <c r="O7" s="54">
        <f t="shared" si="2"/>
        <v>13680</v>
      </c>
      <c r="P7" s="36">
        <f t="shared" si="3"/>
        <v>5477.2427407308132</v>
      </c>
      <c r="Q7" s="8">
        <f t="shared" si="4"/>
        <v>-44522.757259269187</v>
      </c>
    </row>
    <row r="8" spans="1:19" x14ac:dyDescent="0.25">
      <c r="A8" s="18" t="s">
        <v>6</v>
      </c>
      <c r="B8" s="22">
        <v>109650</v>
      </c>
      <c r="E8" s="12">
        <v>50</v>
      </c>
      <c r="F8" s="12">
        <v>10</v>
      </c>
      <c r="G8" s="15">
        <v>3000</v>
      </c>
      <c r="H8" s="15">
        <f t="shared" si="5"/>
        <v>1500000</v>
      </c>
      <c r="I8" s="15">
        <f t="shared" si="6"/>
        <v>150343.47688186725</v>
      </c>
      <c r="J8" s="15">
        <f t="shared" si="7"/>
        <v>118414.73898064923</v>
      </c>
      <c r="K8" s="15">
        <f t="shared" si="8"/>
        <v>31928.737901218017</v>
      </c>
      <c r="L8" s="15">
        <f t="shared" si="1"/>
        <v>15000</v>
      </c>
      <c r="M8" s="15">
        <f t="shared" si="0"/>
        <v>16928.737901218017</v>
      </c>
      <c r="N8" s="46">
        <f t="shared" si="9"/>
        <v>-33071.262098781983</v>
      </c>
      <c r="O8" s="54">
        <f t="shared" si="2"/>
        <v>22800</v>
      </c>
      <c r="P8" s="36">
        <f t="shared" si="3"/>
        <v>9128.7379012180172</v>
      </c>
      <c r="Q8" s="8">
        <f t="shared" si="4"/>
        <v>-40871.262098781983</v>
      </c>
    </row>
    <row r="9" spans="1:19" x14ac:dyDescent="0.25">
      <c r="A9" s="18" t="s">
        <v>7</v>
      </c>
      <c r="B9" s="22">
        <v>585657.35279999999</v>
      </c>
      <c r="E9" s="12">
        <v>100</v>
      </c>
      <c r="F9" s="12">
        <v>10</v>
      </c>
      <c r="G9" s="15">
        <v>3000</v>
      </c>
      <c r="H9" s="15">
        <f t="shared" si="5"/>
        <v>3000000</v>
      </c>
      <c r="I9" s="15">
        <f t="shared" si="6"/>
        <v>300686.95376373449</v>
      </c>
      <c r="J9" s="15">
        <f t="shared" si="7"/>
        <v>236829.47796129846</v>
      </c>
      <c r="K9" s="15">
        <f t="shared" si="8"/>
        <v>63857.475802436034</v>
      </c>
      <c r="L9" s="15">
        <f t="shared" si="1"/>
        <v>30000</v>
      </c>
      <c r="M9" s="15">
        <f t="shared" si="0"/>
        <v>33857.475802436034</v>
      </c>
      <c r="N9" s="46">
        <f t="shared" si="9"/>
        <v>-16142.524197563966</v>
      </c>
      <c r="O9" s="54">
        <f t="shared" si="2"/>
        <v>45600</v>
      </c>
      <c r="P9" s="36">
        <f t="shared" si="3"/>
        <v>18257.475802436034</v>
      </c>
      <c r="Q9" s="8">
        <f t="shared" si="4"/>
        <v>-31742.524197563966</v>
      </c>
    </row>
    <row r="10" spans="1:19" x14ac:dyDescent="0.25">
      <c r="A10" s="18" t="s">
        <v>18</v>
      </c>
      <c r="B10" s="23">
        <v>0.1002289845879115</v>
      </c>
      <c r="E10" s="12">
        <v>147</v>
      </c>
      <c r="F10" s="12">
        <v>10</v>
      </c>
      <c r="G10" s="15">
        <v>3000</v>
      </c>
      <c r="H10" s="15">
        <f t="shared" si="5"/>
        <v>4410000</v>
      </c>
      <c r="I10" s="15">
        <f t="shared" si="6"/>
        <v>442009.82203268976</v>
      </c>
      <c r="J10" s="15">
        <f t="shared" si="7"/>
        <v>348139.33260310872</v>
      </c>
      <c r="K10" s="15">
        <f t="shared" si="8"/>
        <v>93870.489429581037</v>
      </c>
      <c r="L10" s="15">
        <f t="shared" si="1"/>
        <v>44100</v>
      </c>
      <c r="M10" s="15">
        <f t="shared" si="0"/>
        <v>49770.489429581037</v>
      </c>
      <c r="N10" s="46">
        <f t="shared" si="9"/>
        <v>-229.51057041896274</v>
      </c>
      <c r="O10" s="54">
        <f t="shared" si="2"/>
        <v>67032</v>
      </c>
      <c r="P10" s="36">
        <f t="shared" si="3"/>
        <v>26838.489429581037</v>
      </c>
      <c r="Q10" s="8">
        <f t="shared" si="4"/>
        <v>-23161.510570418963</v>
      </c>
    </row>
    <row r="11" spans="1:19" x14ac:dyDescent="0.25">
      <c r="A11" s="18" t="s">
        <v>9</v>
      </c>
      <c r="B11" s="23">
        <v>7.8943159320432818E-2</v>
      </c>
      <c r="E11" s="124">
        <f t="shared" ref="E11" si="10">E10+1</f>
        <v>148</v>
      </c>
      <c r="F11" s="12">
        <v>10</v>
      </c>
      <c r="G11" s="15">
        <v>3000</v>
      </c>
      <c r="H11" s="15">
        <f t="shared" si="5"/>
        <v>4440000</v>
      </c>
      <c r="I11" s="15">
        <f t="shared" si="6"/>
        <v>445016.69157032709</v>
      </c>
      <c r="J11" s="15">
        <f t="shared" si="7"/>
        <v>350507.62738272169</v>
      </c>
      <c r="K11" s="15">
        <f t="shared" si="8"/>
        <v>94509.0641876054</v>
      </c>
      <c r="L11" s="15">
        <f t="shared" si="1"/>
        <v>44400</v>
      </c>
      <c r="M11" s="15">
        <f t="shared" si="0"/>
        <v>50109.0641876054</v>
      </c>
      <c r="N11" s="123">
        <f t="shared" si="9"/>
        <v>109.06418760539964</v>
      </c>
      <c r="O11" s="54">
        <f t="shared" si="2"/>
        <v>67488</v>
      </c>
      <c r="P11" s="36">
        <f t="shared" si="3"/>
        <v>27021.0641876054</v>
      </c>
      <c r="Q11" s="8">
        <f t="shared" si="4"/>
        <v>-22978.9358123946</v>
      </c>
    </row>
    <row r="12" spans="1:19" x14ac:dyDescent="0.25">
      <c r="A12" s="18" t="s">
        <v>11</v>
      </c>
      <c r="B12" s="22">
        <v>50000</v>
      </c>
      <c r="E12" s="65">
        <v>275</v>
      </c>
      <c r="F12" s="65">
        <v>10</v>
      </c>
      <c r="G12" s="66">
        <v>3000</v>
      </c>
      <c r="H12" s="66">
        <f>F12*G12*E12</f>
        <v>8250000</v>
      </c>
      <c r="I12" s="66">
        <f>H12*$B$10</f>
        <v>826889.12285026989</v>
      </c>
      <c r="J12" s="66">
        <f>H12*$B$11</f>
        <v>651281.06439357076</v>
      </c>
      <c r="K12" s="66">
        <f>I12-J12</f>
        <v>175608.05845669913</v>
      </c>
      <c r="L12" s="66">
        <f t="shared" si="1"/>
        <v>82500</v>
      </c>
      <c r="M12" s="66">
        <f t="shared" si="0"/>
        <v>93108.058456699131</v>
      </c>
      <c r="N12" s="67">
        <f>M12-$B$12</f>
        <v>43108.058456699131</v>
      </c>
      <c r="O12" s="69">
        <f t="shared" si="2"/>
        <v>125400</v>
      </c>
      <c r="P12" s="70">
        <f t="shared" si="3"/>
        <v>50208.058456699131</v>
      </c>
      <c r="Q12" s="71">
        <f t="shared" si="4"/>
        <v>208.05845669913106</v>
      </c>
    </row>
    <row r="13" spans="1:19" ht="15.75" thickBot="1" x14ac:dyDescent="0.3">
      <c r="A13" s="18" t="s">
        <v>17</v>
      </c>
      <c r="B13" s="23">
        <v>0.01</v>
      </c>
      <c r="E13" s="13">
        <v>798</v>
      </c>
      <c r="F13" s="13">
        <v>10</v>
      </c>
      <c r="G13" s="16">
        <v>3000</v>
      </c>
      <c r="H13" s="16">
        <f>F13*G13*E13</f>
        <v>23940000</v>
      </c>
      <c r="I13" s="16">
        <f>H13*$B$10</f>
        <v>2399481.8910346013</v>
      </c>
      <c r="J13" s="16">
        <f>H13*$B$11</f>
        <v>1889899.2341311616</v>
      </c>
      <c r="K13" s="16">
        <f>I13-J13</f>
        <v>509582.65690343967</v>
      </c>
      <c r="L13" s="16">
        <f t="shared" ref="L13" si="11">H13*$B$13</f>
        <v>239400</v>
      </c>
      <c r="M13" s="16">
        <f t="shared" si="0"/>
        <v>270182.65690343967</v>
      </c>
      <c r="N13" s="47">
        <f>M13-$B$12</f>
        <v>220182.65690343967</v>
      </c>
      <c r="O13" s="55">
        <f t="shared" si="2"/>
        <v>363888</v>
      </c>
      <c r="P13" s="56">
        <f t="shared" si="3"/>
        <v>145694.65690343967</v>
      </c>
      <c r="Q13" s="9">
        <f t="shared" si="4"/>
        <v>95694.656903439667</v>
      </c>
    </row>
    <row r="14" spans="1:19" x14ac:dyDescent="0.25">
      <c r="A14" s="44" t="s">
        <v>48</v>
      </c>
      <c r="B14" s="23">
        <v>1.52E-2</v>
      </c>
    </row>
    <row r="15" spans="1:19" ht="15.75" thickBot="1" x14ac:dyDescent="0.3"/>
    <row r="16" spans="1:19" x14ac:dyDescent="0.25">
      <c r="A16" s="117"/>
      <c r="B16" s="105"/>
      <c r="E16" s="24" t="s">
        <v>32</v>
      </c>
      <c r="F16" s="25"/>
      <c r="G16" s="25"/>
      <c r="H16" s="25"/>
      <c r="I16" s="25"/>
      <c r="J16" s="25"/>
      <c r="K16" s="25"/>
      <c r="L16" s="25"/>
      <c r="M16" s="82"/>
      <c r="N16" s="90" t="s">
        <v>51</v>
      </c>
      <c r="O16" s="91"/>
      <c r="P16" s="91"/>
      <c r="Q16" s="91"/>
      <c r="R16" s="92"/>
    </row>
    <row r="17" spans="1:18" ht="45.75" customHeight="1" x14ac:dyDescent="0.25">
      <c r="A17" s="118"/>
      <c r="B17" s="106"/>
      <c r="E17" s="78" t="s">
        <v>25</v>
      </c>
      <c r="F17" s="79" t="s">
        <v>24</v>
      </c>
      <c r="G17" s="79" t="s">
        <v>23</v>
      </c>
      <c r="H17" s="79" t="s">
        <v>30</v>
      </c>
      <c r="I17" s="79" t="s">
        <v>31</v>
      </c>
      <c r="J17" s="79" t="s">
        <v>26</v>
      </c>
      <c r="K17" s="79" t="s">
        <v>27</v>
      </c>
      <c r="L17" s="79" t="s">
        <v>28</v>
      </c>
      <c r="M17" s="83" t="s">
        <v>29</v>
      </c>
      <c r="N17" s="87" t="s">
        <v>36</v>
      </c>
      <c r="O17" s="85" t="s">
        <v>49</v>
      </c>
      <c r="P17" s="86" t="s">
        <v>54</v>
      </c>
      <c r="Q17" s="86" t="s">
        <v>50</v>
      </c>
      <c r="R17" s="88" t="s">
        <v>37</v>
      </c>
    </row>
    <row r="18" spans="1:18" ht="15.75" thickBot="1" x14ac:dyDescent="0.3">
      <c r="A18" s="117"/>
      <c r="B18" s="107"/>
      <c r="E18" s="73">
        <v>798</v>
      </c>
      <c r="F18" s="74">
        <v>1463</v>
      </c>
      <c r="G18" s="75">
        <f>F18/E18</f>
        <v>1.8333333333333333</v>
      </c>
      <c r="H18" s="76">
        <f>J18/F18</f>
        <v>5070.896787423103</v>
      </c>
      <c r="I18" s="76">
        <f>B6/E18</f>
        <v>9296.6441102756889</v>
      </c>
      <c r="J18" s="76">
        <f>I18*E18</f>
        <v>7418722</v>
      </c>
      <c r="K18" s="76">
        <f>E18*G18*H18*B10</f>
        <v>743570.973</v>
      </c>
      <c r="L18" s="76">
        <f>J18*$B$11</f>
        <v>585657.35279999999</v>
      </c>
      <c r="M18" s="84">
        <f>K18-L18</f>
        <v>157913.6202</v>
      </c>
      <c r="N18" s="93">
        <v>100</v>
      </c>
      <c r="O18" s="76">
        <v>-50000</v>
      </c>
      <c r="P18" s="76">
        <f>M3</f>
        <v>338.57475802436056</v>
      </c>
      <c r="Q18" s="76">
        <f>M18+O18+(N18*P18)</f>
        <v>141771.09600243607</v>
      </c>
      <c r="R18" s="89">
        <f>M18-Q18</f>
        <v>16142.524197563936</v>
      </c>
    </row>
    <row r="19" spans="1:18" x14ac:dyDescent="0.25">
      <c r="A19" s="117"/>
      <c r="B19" s="108"/>
    </row>
    <row r="21" spans="1:18" ht="18.75" x14ac:dyDescent="0.3">
      <c r="A21" s="120" t="s">
        <v>121</v>
      </c>
      <c r="E21" s="5"/>
      <c r="F21" s="5"/>
      <c r="G21" s="6"/>
      <c r="H21" s="7"/>
      <c r="I21" s="2"/>
      <c r="J21" s="2"/>
    </row>
    <row r="22" spans="1:18" ht="15.75" x14ac:dyDescent="0.25">
      <c r="A22" s="119" t="s">
        <v>123</v>
      </c>
    </row>
    <row r="23" spans="1:18" ht="15.75" x14ac:dyDescent="0.25">
      <c r="A23" s="119" t="s">
        <v>122</v>
      </c>
    </row>
    <row r="24" spans="1:18" ht="15.75" x14ac:dyDescent="0.25">
      <c r="A24" s="121" t="s">
        <v>124</v>
      </c>
    </row>
    <row r="25" spans="1:18" ht="15.75" x14ac:dyDescent="0.25">
      <c r="A25" s="121" t="s">
        <v>125</v>
      </c>
    </row>
    <row r="27" spans="1:18" x14ac:dyDescent="0.25">
      <c r="A27" s="4" t="s">
        <v>127</v>
      </c>
    </row>
    <row r="28" spans="1:18" x14ac:dyDescent="0.25">
      <c r="A28" t="s">
        <v>126</v>
      </c>
    </row>
  </sheetData>
  <mergeCells count="3">
    <mergeCell ref="E16:M16"/>
    <mergeCell ref="E1:Q1"/>
    <mergeCell ref="N16:R16"/>
  </mergeCells>
  <pageMargins left="0.7" right="0.7" top="0.75" bottom="0.75" header="0.3" footer="0.3"/>
  <pageSetup paperSize="9" orientation="portrait" horizontalDpi="0" verticalDpi="0" r:id="rId1"/>
  <ignoredErrors>
    <ignoredError sqref="J3"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719D-E805-4AF8-9ED8-BD409B0CCFF4}">
  <dimension ref="A1:R43"/>
  <sheetViews>
    <sheetView topLeftCell="B13" zoomScale="85" zoomScaleNormal="85" workbookViewId="0">
      <selection activeCell="Q25" sqref="Q25"/>
    </sheetView>
  </sheetViews>
  <sheetFormatPr defaultRowHeight="15" x14ac:dyDescent="0.25"/>
  <cols>
    <col min="1" max="1" width="65.28515625" bestFit="1" customWidth="1"/>
    <col min="2" max="2" width="13.42578125" bestFit="1" customWidth="1"/>
    <col min="5" max="5" width="14.5703125" customWidth="1"/>
    <col min="6" max="6" width="12" customWidth="1"/>
    <col min="7" max="7" width="10.85546875" customWidth="1"/>
    <col min="8" max="8" width="21.42578125" customWidth="1"/>
    <col min="9" max="9" width="13.140625" customWidth="1"/>
    <col min="10" max="10" width="14" customWidth="1"/>
    <col min="11" max="11" width="11.42578125" customWidth="1"/>
    <col min="12" max="12" width="19.42578125" customWidth="1"/>
    <col min="13" max="13" width="20" customWidth="1"/>
    <col min="14" max="14" width="14.85546875" customWidth="1"/>
    <col min="15" max="15" width="19.7109375" customWidth="1"/>
    <col min="16" max="16" width="22" customWidth="1"/>
    <col min="17" max="17" width="16.28515625" customWidth="1"/>
    <col min="18" max="18" width="12.5703125" customWidth="1"/>
  </cols>
  <sheetData>
    <row r="1" spans="1:18" ht="15.75" thickBot="1" x14ac:dyDescent="0.3">
      <c r="A1" s="19" t="s">
        <v>43</v>
      </c>
      <c r="B1" s="19" t="s">
        <v>33</v>
      </c>
      <c r="E1" s="42" t="s">
        <v>44</v>
      </c>
      <c r="F1" s="43"/>
      <c r="G1" s="43"/>
      <c r="H1" s="43"/>
      <c r="I1" s="43"/>
      <c r="J1" s="43"/>
      <c r="K1" s="43"/>
      <c r="L1" s="43"/>
      <c r="M1" s="43"/>
      <c r="N1" s="43"/>
      <c r="O1" s="43"/>
      <c r="P1" s="43"/>
      <c r="Q1" s="43"/>
    </row>
    <row r="2" spans="1:18" ht="45" x14ac:dyDescent="0.25">
      <c r="A2" s="18" t="s">
        <v>0</v>
      </c>
      <c r="B2" s="20">
        <v>84</v>
      </c>
      <c r="E2" s="10" t="s">
        <v>13</v>
      </c>
      <c r="F2" s="10" t="s">
        <v>12</v>
      </c>
      <c r="G2" s="10" t="s">
        <v>14</v>
      </c>
      <c r="H2" s="10" t="s">
        <v>15</v>
      </c>
      <c r="I2" s="10" t="s">
        <v>16</v>
      </c>
      <c r="J2" s="10" t="s">
        <v>19</v>
      </c>
      <c r="K2" s="48" t="s">
        <v>20</v>
      </c>
      <c r="L2" s="57" t="s">
        <v>45</v>
      </c>
      <c r="M2" s="58" t="s">
        <v>21</v>
      </c>
      <c r="N2" s="62" t="s">
        <v>22</v>
      </c>
      <c r="O2" s="64" t="s">
        <v>46</v>
      </c>
      <c r="P2" s="58" t="s">
        <v>47</v>
      </c>
      <c r="Q2" s="59" t="s">
        <v>22</v>
      </c>
    </row>
    <row r="3" spans="1:18" x14ac:dyDescent="0.25">
      <c r="A3" s="18" t="s">
        <v>1</v>
      </c>
      <c r="B3" s="20">
        <v>169</v>
      </c>
      <c r="E3" s="11">
        <v>1</v>
      </c>
      <c r="F3" s="11">
        <v>10</v>
      </c>
      <c r="G3" s="14">
        <v>3000</v>
      </c>
      <c r="H3" s="14">
        <f>F3*G3*E3</f>
        <v>30000</v>
      </c>
      <c r="I3" s="14">
        <f>H3*$B$10</f>
        <v>2992.8841024178018</v>
      </c>
      <c r="J3" s="14">
        <f>H3*$B$11</f>
        <v>2395.6066222095428</v>
      </c>
      <c r="K3" s="45">
        <f>I3-J3</f>
        <v>597.27748020825902</v>
      </c>
      <c r="L3" s="60">
        <f>H3*$B$13</f>
        <v>300</v>
      </c>
      <c r="M3" s="14">
        <f t="shared" ref="M3:M13" si="0">K3-L3</f>
        <v>297.27748020825902</v>
      </c>
      <c r="N3" s="72">
        <f>M3-$B$12</f>
        <v>-49702.722519791743</v>
      </c>
      <c r="O3" s="54">
        <f>H3*$B$14</f>
        <v>414</v>
      </c>
      <c r="P3" s="36">
        <f>K3-O3</f>
        <v>183.27748020825902</v>
      </c>
      <c r="Q3" s="8">
        <f>P3-$B$12</f>
        <v>-49816.722519791743</v>
      </c>
    </row>
    <row r="4" spans="1:18" x14ac:dyDescent="0.25">
      <c r="A4" s="18" t="s">
        <v>2</v>
      </c>
      <c r="B4" s="21">
        <v>2.0119047619047619</v>
      </c>
      <c r="E4" s="12">
        <f>E3+1</f>
        <v>2</v>
      </c>
      <c r="F4" s="12">
        <v>10</v>
      </c>
      <c r="G4" s="15">
        <v>3000</v>
      </c>
      <c r="H4" s="15">
        <f>F4*G4*E4</f>
        <v>60000</v>
      </c>
      <c r="I4" s="15">
        <f>H4*$B$10</f>
        <v>5985.7682048356037</v>
      </c>
      <c r="J4" s="15">
        <f>H4*$B$11</f>
        <v>4791.2132444190856</v>
      </c>
      <c r="K4" s="46">
        <f>I4-J4</f>
        <v>1194.554960416518</v>
      </c>
      <c r="L4" s="52">
        <f t="shared" ref="L4:L13" si="1">H4*$B$13</f>
        <v>600</v>
      </c>
      <c r="M4" s="15">
        <f t="shared" si="0"/>
        <v>594.55496041651804</v>
      </c>
      <c r="N4" s="46">
        <f>M4-$B$12</f>
        <v>-49405.445039583479</v>
      </c>
      <c r="O4" s="54">
        <f t="shared" ref="O4:O13" si="2">H4*$B$14</f>
        <v>828</v>
      </c>
      <c r="P4" s="36">
        <f t="shared" ref="P4:P13" si="3">K4-O4</f>
        <v>366.55496041651804</v>
      </c>
      <c r="Q4" s="8">
        <f t="shared" ref="Q4:Q13" si="4">P4-$B$12</f>
        <v>-49633.445039583479</v>
      </c>
    </row>
    <row r="5" spans="1:18" x14ac:dyDescent="0.25">
      <c r="A5" s="18" t="s">
        <v>3</v>
      </c>
      <c r="B5" s="22">
        <v>83926.456000000006</v>
      </c>
      <c r="E5" s="12">
        <v>10</v>
      </c>
      <c r="F5" s="12">
        <v>10</v>
      </c>
      <c r="G5" s="15">
        <v>3000</v>
      </c>
      <c r="H5" s="15">
        <f t="shared" ref="H5:H11" si="5">F5*G5*E5</f>
        <v>300000</v>
      </c>
      <c r="I5" s="15">
        <f t="shared" ref="I5:I11" si="6">H5*$B$10</f>
        <v>29928.841024178018</v>
      </c>
      <c r="J5" s="15">
        <f t="shared" ref="J5:J11" si="7">H5*$B$11</f>
        <v>23956.066222095429</v>
      </c>
      <c r="K5" s="46">
        <f t="shared" ref="K5:K11" si="8">I5-J5</f>
        <v>5972.7748020825893</v>
      </c>
      <c r="L5" s="52">
        <f t="shared" si="1"/>
        <v>3000</v>
      </c>
      <c r="M5" s="15">
        <f t="shared" si="0"/>
        <v>2972.7748020825893</v>
      </c>
      <c r="N5" s="46">
        <f t="shared" ref="N5:N11" si="9">M5-$B$12</f>
        <v>-47027.225197917411</v>
      </c>
      <c r="O5" s="54">
        <f t="shared" si="2"/>
        <v>4140</v>
      </c>
      <c r="P5" s="36">
        <f t="shared" si="3"/>
        <v>1832.7748020825893</v>
      </c>
      <c r="Q5" s="8">
        <f t="shared" si="4"/>
        <v>-48167.225197917411</v>
      </c>
    </row>
    <row r="6" spans="1:18" x14ac:dyDescent="0.25">
      <c r="A6" s="18" t="s">
        <v>4</v>
      </c>
      <c r="B6" s="22">
        <v>841260</v>
      </c>
      <c r="E6" s="12">
        <v>20</v>
      </c>
      <c r="F6" s="12">
        <v>10</v>
      </c>
      <c r="G6" s="15">
        <v>3000</v>
      </c>
      <c r="H6" s="15">
        <f t="shared" si="5"/>
        <v>600000</v>
      </c>
      <c r="I6" s="15">
        <f t="shared" si="6"/>
        <v>59857.682048356037</v>
      </c>
      <c r="J6" s="15">
        <f t="shared" si="7"/>
        <v>47912.132444190858</v>
      </c>
      <c r="K6" s="46">
        <f t="shared" si="8"/>
        <v>11945.549604165179</v>
      </c>
      <c r="L6" s="52">
        <f t="shared" si="1"/>
        <v>6000</v>
      </c>
      <c r="M6" s="15">
        <f t="shared" si="0"/>
        <v>5945.5496041651786</v>
      </c>
      <c r="N6" s="46">
        <f t="shared" si="9"/>
        <v>-44054.450395834821</v>
      </c>
      <c r="O6" s="54">
        <f t="shared" si="2"/>
        <v>8280</v>
      </c>
      <c r="P6" s="36">
        <f t="shared" si="3"/>
        <v>3665.5496041651786</v>
      </c>
      <c r="Q6" s="8">
        <f t="shared" si="4"/>
        <v>-46334.450395834821</v>
      </c>
    </row>
    <row r="7" spans="1:18" x14ac:dyDescent="0.25">
      <c r="A7" s="18" t="s">
        <v>5</v>
      </c>
      <c r="B7" s="22">
        <v>54927.600899999998</v>
      </c>
      <c r="E7" s="12">
        <v>30</v>
      </c>
      <c r="F7" s="12">
        <v>10</v>
      </c>
      <c r="G7" s="15">
        <v>3000</v>
      </c>
      <c r="H7" s="15">
        <f t="shared" si="5"/>
        <v>900000</v>
      </c>
      <c r="I7" s="15">
        <f t="shared" si="6"/>
        <v>89786.523072534052</v>
      </c>
      <c r="J7" s="15">
        <f t="shared" si="7"/>
        <v>71868.198666286276</v>
      </c>
      <c r="K7" s="46">
        <f t="shared" si="8"/>
        <v>17918.324406247775</v>
      </c>
      <c r="L7" s="52">
        <f t="shared" si="1"/>
        <v>9000</v>
      </c>
      <c r="M7" s="15">
        <f t="shared" si="0"/>
        <v>8918.3244062477752</v>
      </c>
      <c r="N7" s="46">
        <f t="shared" si="9"/>
        <v>-41081.675593752225</v>
      </c>
      <c r="O7" s="54">
        <f t="shared" si="2"/>
        <v>12420</v>
      </c>
      <c r="P7" s="36">
        <f t="shared" si="3"/>
        <v>5498.3244062477752</v>
      </c>
      <c r="Q7" s="8">
        <f t="shared" si="4"/>
        <v>-44501.675593752225</v>
      </c>
    </row>
    <row r="8" spans="1:18" x14ac:dyDescent="0.25">
      <c r="A8" s="18" t="s">
        <v>6</v>
      </c>
      <c r="B8" s="22">
        <v>12250</v>
      </c>
      <c r="E8" s="12">
        <v>50</v>
      </c>
      <c r="F8" s="12">
        <v>10</v>
      </c>
      <c r="G8" s="15">
        <v>3000</v>
      </c>
      <c r="H8" s="15">
        <f t="shared" si="5"/>
        <v>1500000</v>
      </c>
      <c r="I8" s="15">
        <f t="shared" si="6"/>
        <v>149644.20512089008</v>
      </c>
      <c r="J8" s="15">
        <f t="shared" si="7"/>
        <v>119780.33111047714</v>
      </c>
      <c r="K8" s="46">
        <f t="shared" si="8"/>
        <v>29863.874010412939</v>
      </c>
      <c r="L8" s="52">
        <f t="shared" si="1"/>
        <v>15000</v>
      </c>
      <c r="M8" s="15">
        <f t="shared" si="0"/>
        <v>14863.874010412939</v>
      </c>
      <c r="N8" s="46">
        <f t="shared" si="9"/>
        <v>-35136.125989587061</v>
      </c>
      <c r="O8" s="54">
        <f t="shared" si="2"/>
        <v>20700</v>
      </c>
      <c r="P8" s="36">
        <f t="shared" si="3"/>
        <v>9163.8740104129392</v>
      </c>
      <c r="Q8" s="8">
        <f t="shared" si="4"/>
        <v>-40836.125989587061</v>
      </c>
    </row>
    <row r="9" spans="1:18" x14ac:dyDescent="0.25">
      <c r="A9" s="18" t="s">
        <v>7</v>
      </c>
      <c r="B9" s="22">
        <v>67177.600900000005</v>
      </c>
      <c r="E9" s="12">
        <v>100</v>
      </c>
      <c r="F9" s="12">
        <v>10</v>
      </c>
      <c r="G9" s="15">
        <v>3000</v>
      </c>
      <c r="H9" s="15">
        <f t="shared" si="5"/>
        <v>3000000</v>
      </c>
      <c r="I9" s="15">
        <f t="shared" si="6"/>
        <v>299288.41024178016</v>
      </c>
      <c r="J9" s="15">
        <f t="shared" si="7"/>
        <v>239560.66222095428</v>
      </c>
      <c r="K9" s="46">
        <f t="shared" si="8"/>
        <v>59727.748020825878</v>
      </c>
      <c r="L9" s="52">
        <f t="shared" si="1"/>
        <v>30000</v>
      </c>
      <c r="M9" s="15">
        <f t="shared" si="0"/>
        <v>29727.748020825878</v>
      </c>
      <c r="N9" s="46">
        <f t="shared" si="9"/>
        <v>-20272.251979174122</v>
      </c>
      <c r="O9" s="54">
        <f t="shared" si="2"/>
        <v>41400</v>
      </c>
      <c r="P9" s="36">
        <f t="shared" si="3"/>
        <v>18327.748020825878</v>
      </c>
      <c r="Q9" s="8">
        <f t="shared" si="4"/>
        <v>-31672.251979174122</v>
      </c>
    </row>
    <row r="10" spans="1:18" x14ac:dyDescent="0.25">
      <c r="A10" s="18" t="s">
        <v>8</v>
      </c>
      <c r="B10" s="23">
        <v>9.9762803413926723E-2</v>
      </c>
      <c r="E10" s="12">
        <v>168</v>
      </c>
      <c r="F10" s="12">
        <v>10</v>
      </c>
      <c r="G10" s="15">
        <v>3000</v>
      </c>
      <c r="H10" s="15">
        <f t="shared" si="5"/>
        <v>5040000</v>
      </c>
      <c r="I10" s="15">
        <f t="shared" si="6"/>
        <v>502804.52920619067</v>
      </c>
      <c r="J10" s="15">
        <f t="shared" si="7"/>
        <v>402461.91253120318</v>
      </c>
      <c r="K10" s="46">
        <f t="shared" si="8"/>
        <v>100342.61667498748</v>
      </c>
      <c r="L10" s="52">
        <f t="shared" si="1"/>
        <v>50400</v>
      </c>
      <c r="M10" s="15">
        <f t="shared" si="0"/>
        <v>49942.616674987483</v>
      </c>
      <c r="N10" s="46">
        <f t="shared" si="9"/>
        <v>-57.383325012517162</v>
      </c>
      <c r="O10" s="54">
        <f t="shared" si="2"/>
        <v>69552</v>
      </c>
      <c r="P10" s="36">
        <f t="shared" si="3"/>
        <v>30790.616674987483</v>
      </c>
      <c r="Q10" s="8">
        <f t="shared" si="4"/>
        <v>-19209.383325012517</v>
      </c>
    </row>
    <row r="11" spans="1:18" x14ac:dyDescent="0.25">
      <c r="A11" s="18" t="s">
        <v>9</v>
      </c>
      <c r="B11" s="23">
        <v>7.9853554073651425E-2</v>
      </c>
      <c r="E11" s="124">
        <f t="shared" ref="E11" si="10">E10+1</f>
        <v>169</v>
      </c>
      <c r="F11" s="12">
        <v>10</v>
      </c>
      <c r="G11" s="15">
        <v>3000</v>
      </c>
      <c r="H11" s="15">
        <f t="shared" si="5"/>
        <v>5070000</v>
      </c>
      <c r="I11" s="15">
        <f t="shared" si="6"/>
        <v>505797.41330860846</v>
      </c>
      <c r="J11" s="15">
        <f t="shared" si="7"/>
        <v>404857.51915341272</v>
      </c>
      <c r="K11" s="46">
        <f t="shared" si="8"/>
        <v>100939.89415519574</v>
      </c>
      <c r="L11" s="52">
        <f t="shared" si="1"/>
        <v>50700</v>
      </c>
      <c r="M11" s="15">
        <f t="shared" si="0"/>
        <v>50239.89415519574</v>
      </c>
      <c r="N11" s="123">
        <f t="shared" si="9"/>
        <v>239.89415519573959</v>
      </c>
      <c r="O11" s="54">
        <f t="shared" si="2"/>
        <v>69966</v>
      </c>
      <c r="P11" s="36">
        <f t="shared" si="3"/>
        <v>30973.89415519574</v>
      </c>
      <c r="Q11" s="8">
        <f t="shared" si="4"/>
        <v>-19026.10584480426</v>
      </c>
    </row>
    <row r="12" spans="1:18" x14ac:dyDescent="0.25">
      <c r="A12" s="18" t="s">
        <v>11</v>
      </c>
      <c r="B12" s="22">
        <v>50000</v>
      </c>
      <c r="E12" s="65">
        <v>275</v>
      </c>
      <c r="F12" s="65">
        <v>10</v>
      </c>
      <c r="G12" s="66">
        <v>3000</v>
      </c>
      <c r="H12" s="66">
        <f>F12*G12*E12</f>
        <v>8250000</v>
      </c>
      <c r="I12" s="66">
        <f>H12*$B$10</f>
        <v>823043.12816489546</v>
      </c>
      <c r="J12" s="66">
        <f>H12*$B$11</f>
        <v>658791.82110762422</v>
      </c>
      <c r="K12" s="67">
        <f>I12-J12</f>
        <v>164251.30705727125</v>
      </c>
      <c r="L12" s="68">
        <f t="shared" si="1"/>
        <v>82500</v>
      </c>
      <c r="M12" s="66">
        <f t="shared" si="0"/>
        <v>81751.307057271246</v>
      </c>
      <c r="N12" s="67">
        <f>M12-$B$12</f>
        <v>31751.307057271246</v>
      </c>
      <c r="O12" s="69">
        <f t="shared" si="2"/>
        <v>113850</v>
      </c>
      <c r="P12" s="70">
        <f t="shared" si="3"/>
        <v>50401.307057271246</v>
      </c>
      <c r="Q12" s="71">
        <f t="shared" si="4"/>
        <v>401.30705727124587</v>
      </c>
    </row>
    <row r="13" spans="1:18" ht="15.75" thickBot="1" x14ac:dyDescent="0.3">
      <c r="A13" s="18" t="s">
        <v>17</v>
      </c>
      <c r="B13" s="23">
        <v>0.01</v>
      </c>
      <c r="E13" s="13">
        <v>798</v>
      </c>
      <c r="F13" s="13">
        <v>10</v>
      </c>
      <c r="G13" s="16">
        <v>3000</v>
      </c>
      <c r="H13" s="16">
        <f>F13*G13*E13</f>
        <v>23940000</v>
      </c>
      <c r="I13" s="16">
        <f>H13*$B$10</f>
        <v>2388321.5137294056</v>
      </c>
      <c r="J13" s="16">
        <f>H13*$B$11</f>
        <v>1911694.0845232152</v>
      </c>
      <c r="K13" s="47">
        <f>I13-J13</f>
        <v>476627.4292061904</v>
      </c>
      <c r="L13" s="53">
        <f t="shared" si="1"/>
        <v>239400</v>
      </c>
      <c r="M13" s="61">
        <f t="shared" si="0"/>
        <v>237227.4292061904</v>
      </c>
      <c r="N13" s="63">
        <f>M13-$B$12</f>
        <v>187227.4292061904</v>
      </c>
      <c r="O13" s="55">
        <f t="shared" si="2"/>
        <v>330372</v>
      </c>
      <c r="P13" s="56">
        <f t="shared" si="3"/>
        <v>146255.4292061904</v>
      </c>
      <c r="Q13" s="9">
        <f t="shared" si="4"/>
        <v>96255.429206190398</v>
      </c>
    </row>
    <row r="14" spans="1:18" x14ac:dyDescent="0.25">
      <c r="A14" s="44" t="s">
        <v>48</v>
      </c>
      <c r="B14" s="23">
        <v>1.38E-2</v>
      </c>
    </row>
    <row r="15" spans="1:18" ht="15.75" thickBot="1" x14ac:dyDescent="0.3"/>
    <row r="16" spans="1:18" x14ac:dyDescent="0.25">
      <c r="A16" s="117"/>
      <c r="B16" s="105"/>
      <c r="E16" s="24" t="s">
        <v>32</v>
      </c>
      <c r="F16" s="25"/>
      <c r="G16" s="25"/>
      <c r="H16" s="25"/>
      <c r="I16" s="25"/>
      <c r="J16" s="25"/>
      <c r="K16" s="25"/>
      <c r="L16" s="25"/>
      <c r="M16" s="82"/>
      <c r="N16" s="90" t="s">
        <v>51</v>
      </c>
      <c r="O16" s="91"/>
      <c r="P16" s="91"/>
      <c r="Q16" s="91"/>
      <c r="R16" s="92"/>
    </row>
    <row r="17" spans="1:18" ht="56.25" x14ac:dyDescent="0.25">
      <c r="A17" s="118"/>
      <c r="B17" s="106"/>
      <c r="E17" s="78" t="s">
        <v>25</v>
      </c>
      <c r="F17" s="79" t="s">
        <v>24</v>
      </c>
      <c r="G17" s="79" t="s">
        <v>23</v>
      </c>
      <c r="H17" s="79" t="s">
        <v>30</v>
      </c>
      <c r="I17" s="79" t="s">
        <v>31</v>
      </c>
      <c r="J17" s="79" t="s">
        <v>26</v>
      </c>
      <c r="K17" s="79" t="s">
        <v>27</v>
      </c>
      <c r="L17" s="79" t="s">
        <v>28</v>
      </c>
      <c r="M17" s="83" t="s">
        <v>29</v>
      </c>
      <c r="N17" s="87" t="s">
        <v>36</v>
      </c>
      <c r="O17" s="85" t="s">
        <v>49</v>
      </c>
      <c r="P17" s="86" t="s">
        <v>54</v>
      </c>
      <c r="Q17" s="86" t="s">
        <v>50</v>
      </c>
      <c r="R17" s="88" t="s">
        <v>37</v>
      </c>
    </row>
    <row r="18" spans="1:18" ht="15.75" thickBot="1" x14ac:dyDescent="0.3">
      <c r="A18" s="117"/>
      <c r="B18" s="107"/>
      <c r="E18" s="73">
        <v>84</v>
      </c>
      <c r="F18" s="74">
        <v>169</v>
      </c>
      <c r="G18" s="75">
        <f>F18/E18</f>
        <v>2.0119047619047619</v>
      </c>
      <c r="H18" s="76">
        <f>J18/F18</f>
        <v>4977.8698224852069</v>
      </c>
      <c r="I18" s="76">
        <f>B6/E18</f>
        <v>10015</v>
      </c>
      <c r="J18" s="76">
        <f>I18*E18</f>
        <v>841260</v>
      </c>
      <c r="K18" s="76">
        <f>E18*G18*H18*B10</f>
        <v>83926.455999999991</v>
      </c>
      <c r="L18" s="76">
        <f>J18*$B$11</f>
        <v>67177.600900000005</v>
      </c>
      <c r="M18" s="84">
        <f>K18-L18</f>
        <v>16748.855099999986</v>
      </c>
      <c r="N18" s="93">
        <v>112</v>
      </c>
      <c r="O18" s="76">
        <v>-50000</v>
      </c>
      <c r="P18" s="76">
        <v>297.27748020825902</v>
      </c>
      <c r="Q18" s="76">
        <f>M18+O18+(N18*P18)</f>
        <v>43.93288332499651</v>
      </c>
      <c r="R18" s="89">
        <f>M18-Q18</f>
        <v>16704.92221667499</v>
      </c>
    </row>
    <row r="19" spans="1:18" x14ac:dyDescent="0.25">
      <c r="A19" s="117"/>
      <c r="B19" s="108"/>
    </row>
    <row r="20" spans="1:18" ht="15.75" thickBot="1" x14ac:dyDescent="0.3"/>
    <row r="21" spans="1:18" ht="15.75" thickBot="1" x14ac:dyDescent="0.3">
      <c r="E21" s="24" t="s">
        <v>55</v>
      </c>
      <c r="F21" s="25"/>
      <c r="G21" s="25"/>
      <c r="H21" s="25"/>
      <c r="I21" s="25"/>
      <c r="J21" s="25"/>
      <c r="K21" s="25"/>
      <c r="L21" s="25"/>
      <c r="M21" s="26"/>
    </row>
    <row r="22" spans="1:18" ht="57" thickBot="1" x14ac:dyDescent="0.3">
      <c r="E22" s="78" t="s">
        <v>25</v>
      </c>
      <c r="F22" s="79" t="s">
        <v>24</v>
      </c>
      <c r="G22" s="79" t="s">
        <v>23</v>
      </c>
      <c r="H22" s="79" t="s">
        <v>30</v>
      </c>
      <c r="I22" s="79" t="s">
        <v>31</v>
      </c>
      <c r="J22" s="79" t="s">
        <v>26</v>
      </c>
      <c r="K22" s="79" t="s">
        <v>27</v>
      </c>
      <c r="L22" s="79" t="s">
        <v>28</v>
      </c>
      <c r="M22" s="80" t="s">
        <v>29</v>
      </c>
      <c r="O22" s="103" t="s">
        <v>57</v>
      </c>
    </row>
    <row r="23" spans="1:18" ht="16.5" thickBot="1" x14ac:dyDescent="0.3">
      <c r="A23" s="19" t="s">
        <v>56</v>
      </c>
      <c r="B23" s="19" t="s">
        <v>33</v>
      </c>
      <c r="E23" s="73">
        <v>714</v>
      </c>
      <c r="F23" s="74">
        <v>1294</v>
      </c>
      <c r="G23" s="75">
        <f>F23/E23</f>
        <v>1.8123249299719888</v>
      </c>
      <c r="H23" s="76">
        <f>J23/F23</f>
        <v>5083.0463678516226</v>
      </c>
      <c r="I23" s="76">
        <f>B28/E23</f>
        <v>9212.1316526610644</v>
      </c>
      <c r="J23" s="76">
        <f>I23*E23</f>
        <v>6577462</v>
      </c>
      <c r="K23" s="76">
        <f>E23*G23*H23*B32</f>
        <v>659644.51699999999</v>
      </c>
      <c r="L23" s="76">
        <f>J23*$B$33</f>
        <v>518479.75189999997</v>
      </c>
      <c r="M23" s="77">
        <f>K23-L23</f>
        <v>141164.76510000002</v>
      </c>
      <c r="O23" s="104">
        <f>M23+Q18</f>
        <v>141208.69798332502</v>
      </c>
    </row>
    <row r="24" spans="1:18" x14ac:dyDescent="0.25">
      <c r="A24" s="97" t="s">
        <v>0</v>
      </c>
      <c r="B24" s="20">
        <v>714</v>
      </c>
    </row>
    <row r="25" spans="1:18" x14ac:dyDescent="0.25">
      <c r="A25" s="97" t="s">
        <v>1</v>
      </c>
      <c r="B25" s="20">
        <v>1294</v>
      </c>
    </row>
    <row r="26" spans="1:18" ht="15.75" x14ac:dyDescent="0.25">
      <c r="A26" s="97" t="s">
        <v>10</v>
      </c>
      <c r="B26" s="21">
        <v>1.8123249299719888</v>
      </c>
      <c r="E26" s="122" t="s">
        <v>127</v>
      </c>
      <c r="F26" s="119" t="s">
        <v>128</v>
      </c>
    </row>
    <row r="27" spans="1:18" ht="15.75" x14ac:dyDescent="0.25">
      <c r="A27" s="97" t="s">
        <v>3</v>
      </c>
      <c r="B27" s="22">
        <v>659644.51699999999</v>
      </c>
      <c r="E27" s="119"/>
      <c r="F27" s="119" t="s">
        <v>129</v>
      </c>
    </row>
    <row r="28" spans="1:18" ht="15.75" x14ac:dyDescent="0.25">
      <c r="A28" s="97" t="s">
        <v>4</v>
      </c>
      <c r="B28" s="22">
        <v>6577462</v>
      </c>
      <c r="F28" s="119" t="s">
        <v>147</v>
      </c>
    </row>
    <row r="29" spans="1:18" ht="15.75" x14ac:dyDescent="0.25">
      <c r="A29" s="97" t="s">
        <v>5</v>
      </c>
      <c r="B29" s="22">
        <v>421079.75189999997</v>
      </c>
      <c r="F29" s="119" t="s">
        <v>148</v>
      </c>
    </row>
    <row r="30" spans="1:18" ht="18.75" x14ac:dyDescent="0.3">
      <c r="A30" s="97" t="s">
        <v>6</v>
      </c>
      <c r="B30" s="22">
        <v>97400</v>
      </c>
      <c r="E30" s="120" t="s">
        <v>121</v>
      </c>
    </row>
    <row r="31" spans="1:18" ht="15.75" x14ac:dyDescent="0.25">
      <c r="A31" s="97" t="s">
        <v>7</v>
      </c>
      <c r="B31" s="22">
        <v>518479.75189999997</v>
      </c>
      <c r="E31" s="119" t="s">
        <v>123</v>
      </c>
    </row>
    <row r="32" spans="1:18" ht="15.75" x14ac:dyDescent="0.25">
      <c r="A32" s="97" t="s">
        <v>8</v>
      </c>
      <c r="B32" s="23">
        <v>0.10028860934506349</v>
      </c>
      <c r="E32" s="119" t="s">
        <v>130</v>
      </c>
    </row>
    <row r="33" spans="1:8" ht="16.5" thickBot="1" x14ac:dyDescent="0.3">
      <c r="A33" s="99" t="s">
        <v>9</v>
      </c>
      <c r="B33" s="102">
        <v>7.8826719470215106E-2</v>
      </c>
      <c r="E33" s="121" t="s">
        <v>131</v>
      </c>
    </row>
    <row r="34" spans="1:8" ht="15.75" x14ac:dyDescent="0.25">
      <c r="E34" s="121" t="s">
        <v>132</v>
      </c>
    </row>
    <row r="35" spans="1:8" ht="15.75" x14ac:dyDescent="0.25">
      <c r="E35" s="119" t="s">
        <v>137</v>
      </c>
      <c r="H35" s="81"/>
    </row>
    <row r="36" spans="1:8" ht="15.75" x14ac:dyDescent="0.25">
      <c r="E36" s="119" t="s">
        <v>138</v>
      </c>
    </row>
    <row r="37" spans="1:8" ht="15.75" x14ac:dyDescent="0.25">
      <c r="E37" s="119" t="s">
        <v>144</v>
      </c>
    </row>
    <row r="38" spans="1:8" ht="15.75" x14ac:dyDescent="0.25">
      <c r="E38" s="119" t="s">
        <v>145</v>
      </c>
    </row>
    <row r="39" spans="1:8" ht="15.75" x14ac:dyDescent="0.25">
      <c r="E39" s="119" t="s">
        <v>146</v>
      </c>
    </row>
    <row r="43" spans="1:8" ht="15.75" x14ac:dyDescent="0.25">
      <c r="C43" s="119"/>
    </row>
  </sheetData>
  <mergeCells count="4">
    <mergeCell ref="E1:Q1"/>
    <mergeCell ref="E16:M16"/>
    <mergeCell ref="N16:R16"/>
    <mergeCell ref="E21:M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0DD6-307A-432B-BEE8-85F2066A2FE7}">
  <dimension ref="A1:K49"/>
  <sheetViews>
    <sheetView topLeftCell="A17" workbookViewId="0">
      <selection activeCell="M12" sqref="M12"/>
    </sheetView>
  </sheetViews>
  <sheetFormatPr defaultRowHeight="15" x14ac:dyDescent="0.25"/>
  <cols>
    <col min="1" max="1" width="11.85546875" bestFit="1" customWidth="1"/>
    <col min="2" max="2" width="18.5703125" bestFit="1" customWidth="1"/>
    <col min="3" max="3" width="11.5703125" bestFit="1" customWidth="1"/>
    <col min="4" max="4" width="18" bestFit="1" customWidth="1"/>
    <col min="5" max="5" width="32.85546875" bestFit="1" customWidth="1"/>
    <col min="6" max="6" width="33.5703125" bestFit="1" customWidth="1"/>
    <col min="7" max="7" width="34.140625" bestFit="1" customWidth="1"/>
    <col min="8" max="8" width="29.28515625" bestFit="1" customWidth="1"/>
    <col min="9" max="9" width="15.7109375" bestFit="1" customWidth="1"/>
    <col min="10" max="10" width="11.5703125" bestFit="1" customWidth="1"/>
    <col min="11" max="11" width="10.5703125" bestFit="1" customWidth="1"/>
  </cols>
  <sheetData>
    <row r="1" spans="1:10" ht="51" customHeight="1" x14ac:dyDescent="0.25">
      <c r="A1" s="112" t="s">
        <v>58</v>
      </c>
      <c r="B1" s="81" t="s">
        <v>81</v>
      </c>
      <c r="C1" s="81" t="s">
        <v>12</v>
      </c>
      <c r="D1" s="81" t="s">
        <v>59</v>
      </c>
      <c r="E1" t="s">
        <v>133</v>
      </c>
      <c r="F1" t="s">
        <v>134</v>
      </c>
      <c r="G1" t="s">
        <v>135</v>
      </c>
      <c r="H1" t="s">
        <v>139</v>
      </c>
      <c r="I1" t="s">
        <v>136</v>
      </c>
      <c r="J1" t="s">
        <v>8</v>
      </c>
    </row>
    <row r="2" spans="1:10" x14ac:dyDescent="0.25">
      <c r="A2" s="109" t="s">
        <v>60</v>
      </c>
      <c r="B2" s="113"/>
      <c r="C2" s="113"/>
      <c r="D2" s="2"/>
      <c r="E2" s="2"/>
      <c r="F2" s="2"/>
      <c r="G2" s="2"/>
      <c r="H2" s="2"/>
    </row>
    <row r="3" spans="1:10" x14ac:dyDescent="0.25">
      <c r="A3" s="110" t="s">
        <v>61</v>
      </c>
      <c r="B3" s="113">
        <v>9</v>
      </c>
      <c r="C3" s="113">
        <v>14</v>
      </c>
      <c r="D3" s="2">
        <v>80441</v>
      </c>
      <c r="E3" s="2">
        <v>4025.4072000000001</v>
      </c>
      <c r="F3" s="2">
        <v>1200</v>
      </c>
      <c r="G3" s="2">
        <v>1509.4882</v>
      </c>
      <c r="H3" s="2">
        <v>7812.9080000000004</v>
      </c>
      <c r="I3" s="2">
        <f>E3+F3+G3</f>
        <v>6734.8953999999994</v>
      </c>
      <c r="J3" s="2">
        <f>H3-I3</f>
        <v>1078.0126000000009</v>
      </c>
    </row>
    <row r="4" spans="1:10" x14ac:dyDescent="0.25">
      <c r="A4" s="110" t="s">
        <v>62</v>
      </c>
      <c r="B4" s="113">
        <v>11</v>
      </c>
      <c r="C4" s="113">
        <v>22</v>
      </c>
      <c r="D4" s="2">
        <v>105008</v>
      </c>
      <c r="E4" s="2">
        <v>5188.0234</v>
      </c>
      <c r="F4" s="2">
        <v>1950</v>
      </c>
      <c r="G4" s="2">
        <v>1044.2048</v>
      </c>
      <c r="H4" s="2">
        <v>11062.537</v>
      </c>
      <c r="I4" s="2">
        <f t="shared" ref="I4:I47" si="0">E4+F4+G4</f>
        <v>8182.2281999999996</v>
      </c>
      <c r="J4" s="2">
        <f t="shared" ref="J4:J47" si="1">H4-I4</f>
        <v>2880.3088000000007</v>
      </c>
    </row>
    <row r="5" spans="1:10" x14ac:dyDescent="0.25">
      <c r="A5" s="110" t="s">
        <v>63</v>
      </c>
      <c r="B5" s="113">
        <v>27</v>
      </c>
      <c r="C5" s="113">
        <v>45</v>
      </c>
      <c r="D5" s="2">
        <v>218966</v>
      </c>
      <c r="E5" s="2">
        <v>10916.8395</v>
      </c>
      <c r="F5" s="2">
        <v>2950</v>
      </c>
      <c r="G5" s="2">
        <v>3629.4870999999998</v>
      </c>
      <c r="H5" s="2">
        <v>21489.397000000001</v>
      </c>
      <c r="I5" s="2">
        <f t="shared" si="0"/>
        <v>17496.3266</v>
      </c>
      <c r="J5" s="2">
        <f t="shared" si="1"/>
        <v>3993.0704000000005</v>
      </c>
    </row>
    <row r="6" spans="1:10" x14ac:dyDescent="0.25">
      <c r="A6" s="110" t="s">
        <v>64</v>
      </c>
      <c r="B6" s="113">
        <v>36</v>
      </c>
      <c r="C6" s="113">
        <v>62</v>
      </c>
      <c r="D6" s="2">
        <v>301988</v>
      </c>
      <c r="E6" s="2">
        <v>15157.223</v>
      </c>
      <c r="F6" s="2">
        <v>4000</v>
      </c>
      <c r="G6" s="2">
        <v>4637.8243999999986</v>
      </c>
      <c r="H6" s="2">
        <v>29446.409</v>
      </c>
      <c r="I6" s="2">
        <f t="shared" si="0"/>
        <v>23795.047399999996</v>
      </c>
      <c r="J6" s="2">
        <f t="shared" si="1"/>
        <v>5651.3616000000038</v>
      </c>
    </row>
    <row r="7" spans="1:10" x14ac:dyDescent="0.25">
      <c r="A7" s="110" t="s">
        <v>65</v>
      </c>
      <c r="B7" s="113">
        <v>45</v>
      </c>
      <c r="C7" s="113">
        <v>98</v>
      </c>
      <c r="D7" s="2">
        <v>490862</v>
      </c>
      <c r="E7" s="2">
        <v>24645.793799999999</v>
      </c>
      <c r="F7" s="2">
        <v>7650</v>
      </c>
      <c r="G7" s="2">
        <v>6873.0090999999993</v>
      </c>
      <c r="H7" s="2">
        <v>49894.097000000002</v>
      </c>
      <c r="I7" s="2">
        <f t="shared" si="0"/>
        <v>39168.802899999995</v>
      </c>
      <c r="J7" s="2">
        <f t="shared" si="1"/>
        <v>10725.294100000006</v>
      </c>
    </row>
    <row r="8" spans="1:10" x14ac:dyDescent="0.25">
      <c r="A8" s="110" t="s">
        <v>66</v>
      </c>
      <c r="B8" s="113">
        <v>69</v>
      </c>
      <c r="C8" s="113">
        <v>133</v>
      </c>
      <c r="D8" s="2">
        <v>718579</v>
      </c>
      <c r="E8" s="2">
        <v>36214.815799999997</v>
      </c>
      <c r="F8" s="2">
        <v>10000</v>
      </c>
      <c r="G8" s="2">
        <v>11106.386200000001</v>
      </c>
      <c r="H8" s="2">
        <v>72325.948999999993</v>
      </c>
      <c r="I8" s="2">
        <f t="shared" si="0"/>
        <v>57321.201999999997</v>
      </c>
      <c r="J8" s="2">
        <f t="shared" si="1"/>
        <v>15004.746999999996</v>
      </c>
    </row>
    <row r="9" spans="1:10" x14ac:dyDescent="0.25">
      <c r="A9" s="110" t="s">
        <v>67</v>
      </c>
      <c r="B9" s="113">
        <v>79</v>
      </c>
      <c r="C9" s="113">
        <v>145</v>
      </c>
      <c r="D9" s="2">
        <v>679675</v>
      </c>
      <c r="E9" s="2">
        <v>34314.156300000002</v>
      </c>
      <c r="F9" s="2">
        <v>10300</v>
      </c>
      <c r="G9" s="2">
        <v>9600.0442999999996</v>
      </c>
      <c r="H9" s="2">
        <v>67128.467999999993</v>
      </c>
      <c r="I9" s="2">
        <f t="shared" si="0"/>
        <v>54214.200600000004</v>
      </c>
      <c r="J9" s="2">
        <f t="shared" si="1"/>
        <v>12914.26739999999</v>
      </c>
    </row>
    <row r="10" spans="1:10" x14ac:dyDescent="0.25">
      <c r="A10" s="110" t="s">
        <v>68</v>
      </c>
      <c r="B10" s="113">
        <v>88</v>
      </c>
      <c r="C10" s="113">
        <v>174</v>
      </c>
      <c r="D10" s="2">
        <v>852082</v>
      </c>
      <c r="E10" s="2">
        <v>42181.9715</v>
      </c>
      <c r="F10" s="2">
        <v>13100</v>
      </c>
      <c r="G10" s="2">
        <v>12694.931199999994</v>
      </c>
      <c r="H10" s="2">
        <v>84278.956999999995</v>
      </c>
      <c r="I10" s="2">
        <f t="shared" si="0"/>
        <v>67976.902699999991</v>
      </c>
      <c r="J10" s="2">
        <f t="shared" si="1"/>
        <v>16302.054300000003</v>
      </c>
    </row>
    <row r="11" spans="1:10" x14ac:dyDescent="0.25">
      <c r="A11" s="110" t="s">
        <v>69</v>
      </c>
      <c r="B11" s="113">
        <v>87</v>
      </c>
      <c r="C11" s="113">
        <v>155</v>
      </c>
      <c r="D11" s="2">
        <v>759638</v>
      </c>
      <c r="E11" s="2">
        <v>37536.981</v>
      </c>
      <c r="F11" s="2">
        <v>10950</v>
      </c>
      <c r="G11" s="2">
        <v>10304.841</v>
      </c>
      <c r="H11" s="2">
        <v>75987.828999999998</v>
      </c>
      <c r="I11" s="2">
        <f t="shared" si="0"/>
        <v>58791.822</v>
      </c>
      <c r="J11" s="2">
        <f t="shared" si="1"/>
        <v>17196.006999999998</v>
      </c>
    </row>
    <row r="12" spans="1:10" x14ac:dyDescent="0.25">
      <c r="A12" s="110" t="s">
        <v>70</v>
      </c>
      <c r="B12" s="113">
        <v>87</v>
      </c>
      <c r="C12" s="113">
        <v>162</v>
      </c>
      <c r="D12" s="2">
        <v>789365</v>
      </c>
      <c r="E12" s="2">
        <v>39160.360200000003</v>
      </c>
      <c r="F12" s="2">
        <v>12200</v>
      </c>
      <c r="G12" s="2">
        <v>11478.4208</v>
      </c>
      <c r="H12" s="2">
        <v>78347.857000000004</v>
      </c>
      <c r="I12" s="2">
        <f t="shared" si="0"/>
        <v>62838.781000000003</v>
      </c>
      <c r="J12" s="2">
        <f t="shared" si="1"/>
        <v>15509.076000000001</v>
      </c>
    </row>
    <row r="13" spans="1:10" x14ac:dyDescent="0.25">
      <c r="A13" s="110" t="s">
        <v>71</v>
      </c>
      <c r="B13" s="113">
        <v>95</v>
      </c>
      <c r="C13" s="113">
        <v>170</v>
      </c>
      <c r="D13" s="2">
        <v>845086</v>
      </c>
      <c r="E13" s="2">
        <v>41874.082999999999</v>
      </c>
      <c r="F13" s="2">
        <v>13150</v>
      </c>
      <c r="G13" s="2">
        <v>11952.062299999996</v>
      </c>
      <c r="H13" s="2">
        <v>84028.566000000006</v>
      </c>
      <c r="I13" s="2">
        <f t="shared" si="0"/>
        <v>66976.145299999989</v>
      </c>
      <c r="J13" s="2">
        <f t="shared" si="1"/>
        <v>17052.420700000017</v>
      </c>
    </row>
    <row r="14" spans="1:10" x14ac:dyDescent="0.25">
      <c r="A14" s="110" t="s">
        <v>72</v>
      </c>
      <c r="B14" s="113">
        <v>89</v>
      </c>
      <c r="C14" s="113">
        <v>156</v>
      </c>
      <c r="D14" s="2">
        <v>740831</v>
      </c>
      <c r="E14" s="2">
        <v>37022.0219</v>
      </c>
      <c r="F14" s="2">
        <v>12000</v>
      </c>
      <c r="G14" s="2">
        <v>9885.9640999999992</v>
      </c>
      <c r="H14" s="2">
        <v>74736.671000000002</v>
      </c>
      <c r="I14" s="2">
        <f t="shared" si="0"/>
        <v>58907.985999999997</v>
      </c>
      <c r="J14" s="2">
        <f t="shared" si="1"/>
        <v>15828.685000000005</v>
      </c>
    </row>
    <row r="15" spans="1:10" x14ac:dyDescent="0.25">
      <c r="A15" s="111" t="s">
        <v>73</v>
      </c>
      <c r="B15" s="113">
        <v>175</v>
      </c>
      <c r="C15" s="113">
        <v>1336</v>
      </c>
      <c r="D15" s="2">
        <v>6582521</v>
      </c>
      <c r="E15" s="2">
        <v>328237.67660000001</v>
      </c>
      <c r="F15" s="2">
        <v>99450</v>
      </c>
      <c r="G15" s="2">
        <v>94716.663499999995</v>
      </c>
      <c r="H15" s="2">
        <v>656539.64500000002</v>
      </c>
      <c r="I15" s="2">
        <f t="shared" si="0"/>
        <v>522404.34010000003</v>
      </c>
      <c r="J15" s="2">
        <f t="shared" si="1"/>
        <v>134135.30489999999</v>
      </c>
    </row>
    <row r="16" spans="1:10" x14ac:dyDescent="0.25">
      <c r="A16" s="111" t="s">
        <v>74</v>
      </c>
      <c r="B16" s="113"/>
      <c r="C16" s="113"/>
      <c r="D16" s="2"/>
      <c r="E16" s="2"/>
      <c r="F16" s="2"/>
      <c r="G16" s="2"/>
      <c r="H16" s="2"/>
      <c r="I16" s="2">
        <f t="shared" si="0"/>
        <v>0</v>
      </c>
      <c r="J16" s="2">
        <f t="shared" si="1"/>
        <v>0</v>
      </c>
    </row>
    <row r="17" spans="1:11" x14ac:dyDescent="0.25">
      <c r="A17" s="110" t="s">
        <v>61</v>
      </c>
      <c r="B17" s="113">
        <v>80</v>
      </c>
      <c r="C17" s="113">
        <v>138</v>
      </c>
      <c r="D17" s="2">
        <v>706822</v>
      </c>
      <c r="E17" s="2">
        <v>34899.219100000002</v>
      </c>
      <c r="F17" s="2">
        <v>11650</v>
      </c>
      <c r="G17" s="2">
        <v>10616.776000000003</v>
      </c>
      <c r="H17" s="2">
        <v>70743.252999999997</v>
      </c>
      <c r="I17" s="2">
        <f t="shared" si="0"/>
        <v>57165.995100000007</v>
      </c>
      <c r="J17" s="2">
        <f t="shared" si="1"/>
        <v>13577.25789999999</v>
      </c>
    </row>
    <row r="18" spans="1:11" x14ac:dyDescent="0.25">
      <c r="A18" s="110" t="s">
        <v>62</v>
      </c>
      <c r="B18" s="113">
        <v>87</v>
      </c>
      <c r="C18" s="113">
        <v>156</v>
      </c>
      <c r="D18" s="2">
        <v>774982</v>
      </c>
      <c r="E18" s="2">
        <v>39229.127699999997</v>
      </c>
      <c r="F18" s="2">
        <v>11350</v>
      </c>
      <c r="G18" s="2">
        <v>10685.383300000009</v>
      </c>
      <c r="H18" s="2">
        <v>77089.05</v>
      </c>
      <c r="I18" s="2">
        <f t="shared" si="0"/>
        <v>61264.511000000006</v>
      </c>
      <c r="J18" s="2">
        <f t="shared" si="1"/>
        <v>15824.538999999997</v>
      </c>
    </row>
    <row r="19" spans="1:11" x14ac:dyDescent="0.25">
      <c r="A19" s="110" t="s">
        <v>63</v>
      </c>
      <c r="B19" s="113">
        <v>76</v>
      </c>
      <c r="C19" s="113">
        <v>137</v>
      </c>
      <c r="D19" s="2">
        <v>644442</v>
      </c>
      <c r="E19" s="2">
        <v>31752.023399999998</v>
      </c>
      <c r="F19" s="2">
        <v>10300</v>
      </c>
      <c r="G19" s="2">
        <v>9413.7129999999997</v>
      </c>
      <c r="H19" s="2">
        <v>65343.449000000001</v>
      </c>
      <c r="I19" s="2">
        <f t="shared" si="0"/>
        <v>51465.736399999994</v>
      </c>
      <c r="J19" s="2">
        <f t="shared" si="1"/>
        <v>13877.712600000006</v>
      </c>
    </row>
    <row r="20" spans="1:11" x14ac:dyDescent="0.25">
      <c r="A20" s="110" t="s">
        <v>64</v>
      </c>
      <c r="B20" s="113">
        <v>90</v>
      </c>
      <c r="C20" s="113">
        <v>169</v>
      </c>
      <c r="D20" s="2">
        <v>884043</v>
      </c>
      <c r="E20" s="2">
        <v>44863.383199999997</v>
      </c>
      <c r="F20" s="2">
        <v>13300</v>
      </c>
      <c r="G20" s="2">
        <v>12702.870799999997</v>
      </c>
      <c r="H20" s="2">
        <v>89090.623000000007</v>
      </c>
      <c r="I20" s="2">
        <f t="shared" si="0"/>
        <v>70866.253999999986</v>
      </c>
      <c r="J20" s="2">
        <f t="shared" si="1"/>
        <v>18224.369000000021</v>
      </c>
      <c r="K20" t="s">
        <v>142</v>
      </c>
    </row>
    <row r="21" spans="1:11" x14ac:dyDescent="0.25">
      <c r="A21" s="110" t="s">
        <v>65</v>
      </c>
      <c r="B21" s="113">
        <v>98</v>
      </c>
      <c r="C21" s="113">
        <v>174</v>
      </c>
      <c r="D21" s="2">
        <v>884151</v>
      </c>
      <c r="E21" s="2">
        <v>44174.415800000002</v>
      </c>
      <c r="F21" s="2">
        <v>12600</v>
      </c>
      <c r="G21" s="2">
        <v>12365.110000000008</v>
      </c>
      <c r="H21" s="2">
        <v>86880.001000000004</v>
      </c>
      <c r="I21" s="2">
        <f t="shared" si="0"/>
        <v>69139.525800000003</v>
      </c>
      <c r="J21" s="2">
        <f t="shared" si="1"/>
        <v>17740.475200000001</v>
      </c>
      <c r="K21" s="2">
        <f>AVERAGE(I17:I28)</f>
        <v>64633.31529166668</v>
      </c>
    </row>
    <row r="22" spans="1:11" x14ac:dyDescent="0.25">
      <c r="A22" s="110" t="s">
        <v>66</v>
      </c>
      <c r="B22" s="113">
        <v>85</v>
      </c>
      <c r="C22" s="113">
        <v>144</v>
      </c>
      <c r="D22" s="2">
        <v>744260</v>
      </c>
      <c r="E22" s="2">
        <v>36737.3197</v>
      </c>
      <c r="F22" s="2">
        <v>10450</v>
      </c>
      <c r="G22" s="2">
        <v>10081.462700000002</v>
      </c>
      <c r="H22" s="2">
        <v>73302.622000000003</v>
      </c>
      <c r="I22" s="2">
        <f t="shared" si="0"/>
        <v>57268.782400000004</v>
      </c>
      <c r="J22" s="2">
        <f t="shared" si="1"/>
        <v>16033.839599999999</v>
      </c>
    </row>
    <row r="23" spans="1:11" x14ac:dyDescent="0.25">
      <c r="A23" s="110" t="s">
        <v>67</v>
      </c>
      <c r="B23" s="113">
        <v>77</v>
      </c>
      <c r="C23" s="113">
        <v>153</v>
      </c>
      <c r="D23" s="2">
        <v>749821</v>
      </c>
      <c r="E23" s="2">
        <v>37150.286399999997</v>
      </c>
      <c r="F23" s="2">
        <v>11450</v>
      </c>
      <c r="G23" s="2">
        <v>10990.5555</v>
      </c>
      <c r="H23" s="2">
        <v>75007.846000000005</v>
      </c>
      <c r="I23" s="2">
        <f t="shared" si="0"/>
        <v>59590.841899999999</v>
      </c>
      <c r="J23" s="2">
        <f t="shared" si="1"/>
        <v>15417.004100000006</v>
      </c>
      <c r="K23" t="s">
        <v>143</v>
      </c>
    </row>
    <row r="24" spans="1:11" x14ac:dyDescent="0.25">
      <c r="A24" s="110" t="s">
        <v>68</v>
      </c>
      <c r="B24" s="113">
        <v>85</v>
      </c>
      <c r="C24" s="113">
        <v>167</v>
      </c>
      <c r="D24" s="2">
        <v>820043</v>
      </c>
      <c r="E24" s="2">
        <v>41270.186199999996</v>
      </c>
      <c r="F24" s="2">
        <v>13750</v>
      </c>
      <c r="G24" s="2">
        <v>11982.677800000001</v>
      </c>
      <c r="H24" s="2">
        <v>82427.778000000006</v>
      </c>
      <c r="I24" s="2">
        <f t="shared" si="0"/>
        <v>67002.864000000001</v>
      </c>
      <c r="J24" s="2">
        <f t="shared" si="1"/>
        <v>15424.914000000004</v>
      </c>
      <c r="K24" s="2">
        <f>AVERAGE(J17:J28)</f>
        <v>16553.586625</v>
      </c>
    </row>
    <row r="25" spans="1:11" x14ac:dyDescent="0.25">
      <c r="A25" s="110" t="s">
        <v>69</v>
      </c>
      <c r="B25" s="113">
        <v>86</v>
      </c>
      <c r="C25" s="113">
        <v>147</v>
      </c>
      <c r="D25" s="2">
        <v>704615</v>
      </c>
      <c r="E25" s="2">
        <v>35652.382899999997</v>
      </c>
      <c r="F25" s="2">
        <v>11750</v>
      </c>
      <c r="G25" s="2">
        <v>9374.1720000000023</v>
      </c>
      <c r="H25" s="2">
        <v>69915.588000000003</v>
      </c>
      <c r="I25" s="2">
        <f t="shared" si="0"/>
        <v>56776.554900000003</v>
      </c>
      <c r="J25" s="2">
        <f t="shared" si="1"/>
        <v>13139.033100000001</v>
      </c>
    </row>
    <row r="26" spans="1:11" x14ac:dyDescent="0.25">
      <c r="A26" s="110" t="s">
        <v>70</v>
      </c>
      <c r="B26" s="113">
        <v>102</v>
      </c>
      <c r="C26" s="113">
        <v>217</v>
      </c>
      <c r="D26" s="2">
        <v>1121805</v>
      </c>
      <c r="E26" s="2">
        <v>55713.629300000001</v>
      </c>
      <c r="F26" s="2">
        <v>17300</v>
      </c>
      <c r="G26" s="2">
        <v>15463.845600000002</v>
      </c>
      <c r="H26" s="2">
        <v>112099.30899999999</v>
      </c>
      <c r="I26" s="2">
        <f t="shared" si="0"/>
        <v>88477.474900000001</v>
      </c>
      <c r="J26" s="2">
        <f t="shared" si="1"/>
        <v>23621.834099999993</v>
      </c>
    </row>
    <row r="27" spans="1:11" x14ac:dyDescent="0.25">
      <c r="A27" s="110" t="s">
        <v>71</v>
      </c>
      <c r="B27" s="113">
        <v>86</v>
      </c>
      <c r="C27" s="113">
        <v>168</v>
      </c>
      <c r="D27" s="2">
        <v>830322</v>
      </c>
      <c r="E27" s="2">
        <v>42059.205099999999</v>
      </c>
      <c r="F27" s="2">
        <v>12100</v>
      </c>
      <c r="G27" s="2">
        <v>10458.780699999998</v>
      </c>
      <c r="H27" s="2">
        <v>82183.514999999999</v>
      </c>
      <c r="I27" s="2">
        <f t="shared" si="0"/>
        <v>64617.985799999995</v>
      </c>
      <c r="J27" s="2">
        <f t="shared" si="1"/>
        <v>17565.529200000004</v>
      </c>
    </row>
    <row r="28" spans="1:11" x14ac:dyDescent="0.25">
      <c r="A28" s="110" t="s">
        <v>72</v>
      </c>
      <c r="B28" s="113">
        <v>88</v>
      </c>
      <c r="C28" s="113">
        <v>183</v>
      </c>
      <c r="D28" s="2">
        <v>908144</v>
      </c>
      <c r="E28" s="2">
        <v>45157.270199999999</v>
      </c>
      <c r="F28" s="2">
        <v>13950</v>
      </c>
      <c r="G28" s="2">
        <v>12855.9871</v>
      </c>
      <c r="H28" s="2">
        <v>90159.789000000004</v>
      </c>
      <c r="I28" s="2">
        <f t="shared" si="0"/>
        <v>71963.257299999997</v>
      </c>
      <c r="J28" s="2">
        <f t="shared" si="1"/>
        <v>18196.531700000007</v>
      </c>
    </row>
    <row r="29" spans="1:11" x14ac:dyDescent="0.25">
      <c r="A29" s="111" t="s">
        <v>75</v>
      </c>
      <c r="B29" s="113">
        <v>277</v>
      </c>
      <c r="C29" s="113">
        <v>1953</v>
      </c>
      <c r="D29" s="2">
        <v>9773450</v>
      </c>
      <c r="E29" s="2">
        <v>488658.44900000002</v>
      </c>
      <c r="F29" s="2">
        <v>149950</v>
      </c>
      <c r="G29" s="2">
        <v>136991.33450000017</v>
      </c>
      <c r="H29" s="2">
        <v>974242.82299999997</v>
      </c>
      <c r="I29" s="2">
        <f t="shared" si="0"/>
        <v>775599.78350000014</v>
      </c>
      <c r="J29" s="2">
        <f t="shared" si="1"/>
        <v>198643.03949999984</v>
      </c>
    </row>
    <row r="30" spans="1:11" x14ac:dyDescent="0.25">
      <c r="A30" s="111" t="s">
        <v>76</v>
      </c>
      <c r="B30" s="113"/>
      <c r="C30" s="113"/>
      <c r="D30" s="2"/>
      <c r="E30" s="2"/>
      <c r="F30" s="2"/>
      <c r="G30" s="2"/>
      <c r="H30" s="2"/>
      <c r="I30" s="2">
        <f t="shared" si="0"/>
        <v>0</v>
      </c>
      <c r="J30" s="2">
        <f t="shared" si="1"/>
        <v>0</v>
      </c>
    </row>
    <row r="31" spans="1:11" x14ac:dyDescent="0.25">
      <c r="A31" s="110" t="s">
        <v>61</v>
      </c>
      <c r="B31" s="113">
        <v>90</v>
      </c>
      <c r="C31" s="113">
        <v>168</v>
      </c>
      <c r="D31" s="2">
        <v>861781</v>
      </c>
      <c r="E31" s="2">
        <v>43646.4905</v>
      </c>
      <c r="F31" s="2">
        <v>11850</v>
      </c>
      <c r="G31" s="2">
        <v>12635.122999999992</v>
      </c>
      <c r="H31" s="2">
        <v>84570.152000000002</v>
      </c>
      <c r="I31" s="2">
        <f t="shared" si="0"/>
        <v>68131.613499999992</v>
      </c>
      <c r="J31" s="2">
        <f t="shared" si="1"/>
        <v>16438.53850000001</v>
      </c>
    </row>
    <row r="32" spans="1:11" x14ac:dyDescent="0.25">
      <c r="A32" s="110" t="s">
        <v>62</v>
      </c>
      <c r="B32" s="113">
        <v>81</v>
      </c>
      <c r="C32" s="113">
        <v>134</v>
      </c>
      <c r="D32" s="2">
        <v>663948</v>
      </c>
      <c r="E32" s="2">
        <v>33279.955199999997</v>
      </c>
      <c r="F32" s="2">
        <v>10000</v>
      </c>
      <c r="G32" s="2">
        <v>10581.620900000002</v>
      </c>
      <c r="H32" s="2">
        <v>67270.934999999998</v>
      </c>
      <c r="I32" s="2">
        <f t="shared" si="0"/>
        <v>53861.576099999998</v>
      </c>
      <c r="J32" s="2">
        <f t="shared" si="1"/>
        <v>13409.358899999999</v>
      </c>
    </row>
    <row r="33" spans="1:11" x14ac:dyDescent="0.25">
      <c r="A33" s="110" t="s">
        <v>63</v>
      </c>
      <c r="B33" s="113">
        <v>89</v>
      </c>
      <c r="C33" s="113">
        <v>158</v>
      </c>
      <c r="D33" s="2">
        <v>773140</v>
      </c>
      <c r="E33" s="2">
        <v>38338.972399999999</v>
      </c>
      <c r="F33" s="2">
        <v>10550</v>
      </c>
      <c r="G33" s="2">
        <v>10707.557299999999</v>
      </c>
      <c r="H33" s="2">
        <v>77671.831000000006</v>
      </c>
      <c r="I33" s="2">
        <f t="shared" si="0"/>
        <v>59596.529699999999</v>
      </c>
      <c r="J33" s="2">
        <f t="shared" si="1"/>
        <v>18075.301300000006</v>
      </c>
    </row>
    <row r="34" spans="1:11" x14ac:dyDescent="0.25">
      <c r="A34" s="110" t="s">
        <v>64</v>
      </c>
      <c r="B34" s="113">
        <v>84</v>
      </c>
      <c r="C34" s="113">
        <v>169</v>
      </c>
      <c r="D34" s="2">
        <v>841260</v>
      </c>
      <c r="E34" s="2">
        <v>42661.482400000001</v>
      </c>
      <c r="F34" s="2">
        <v>12250</v>
      </c>
      <c r="G34" s="2">
        <v>12266.11849999999</v>
      </c>
      <c r="H34" s="2">
        <v>83926.456000000006</v>
      </c>
      <c r="I34" s="2">
        <f t="shared" si="0"/>
        <v>67177.60089999999</v>
      </c>
      <c r="J34" s="2">
        <f t="shared" si="1"/>
        <v>16748.855100000015</v>
      </c>
    </row>
    <row r="35" spans="1:11" x14ac:dyDescent="0.25">
      <c r="A35" s="110" t="s">
        <v>65</v>
      </c>
      <c r="B35" s="113">
        <v>85</v>
      </c>
      <c r="C35" s="113">
        <v>171</v>
      </c>
      <c r="D35" s="2">
        <v>854446</v>
      </c>
      <c r="E35" s="2">
        <v>43094.420299999998</v>
      </c>
      <c r="F35" s="2">
        <v>13250</v>
      </c>
      <c r="G35" s="2">
        <v>11906.660299999996</v>
      </c>
      <c r="H35" s="2">
        <v>84019.198999999993</v>
      </c>
      <c r="I35" s="2">
        <f t="shared" si="0"/>
        <v>68251.080599999987</v>
      </c>
      <c r="J35" s="2">
        <f t="shared" si="1"/>
        <v>15768.118400000007</v>
      </c>
      <c r="K35" t="s">
        <v>141</v>
      </c>
    </row>
    <row r="36" spans="1:11" x14ac:dyDescent="0.25">
      <c r="A36" s="110" t="s">
        <v>66</v>
      </c>
      <c r="B36" s="113">
        <v>84</v>
      </c>
      <c r="C36" s="113">
        <v>149</v>
      </c>
      <c r="D36" s="2">
        <v>744547</v>
      </c>
      <c r="E36" s="2">
        <v>37514.902399999999</v>
      </c>
      <c r="F36" s="2">
        <v>10900</v>
      </c>
      <c r="G36" s="2">
        <v>9278.3557000000001</v>
      </c>
      <c r="H36" s="2">
        <v>73323.554000000004</v>
      </c>
      <c r="I36" s="2">
        <f t="shared" si="0"/>
        <v>57693.258099999999</v>
      </c>
      <c r="J36" s="2">
        <f t="shared" si="1"/>
        <v>15630.295900000005</v>
      </c>
      <c r="K36" s="2">
        <f>AVERAGE(I31:I42)</f>
        <v>64604.087058333331</v>
      </c>
    </row>
    <row r="37" spans="1:11" x14ac:dyDescent="0.25">
      <c r="A37" s="110" t="s">
        <v>67</v>
      </c>
      <c r="B37" s="113">
        <v>86</v>
      </c>
      <c r="C37" s="113">
        <v>153</v>
      </c>
      <c r="D37" s="2">
        <v>763801</v>
      </c>
      <c r="E37" s="2">
        <v>38267.637900000002</v>
      </c>
      <c r="F37" s="2">
        <v>10300</v>
      </c>
      <c r="G37" s="2">
        <v>11128.7955</v>
      </c>
      <c r="H37" s="2">
        <v>76211.214000000007</v>
      </c>
      <c r="I37" s="2">
        <f t="shared" si="0"/>
        <v>59696.433400000002</v>
      </c>
      <c r="J37" s="2">
        <f t="shared" si="1"/>
        <v>16514.780600000006</v>
      </c>
    </row>
    <row r="38" spans="1:11" x14ac:dyDescent="0.25">
      <c r="A38" s="110" t="s">
        <v>68</v>
      </c>
      <c r="B38" s="113">
        <v>93</v>
      </c>
      <c r="C38" s="113">
        <v>174</v>
      </c>
      <c r="D38" s="2">
        <v>927267</v>
      </c>
      <c r="E38" s="2">
        <v>47168.124000000003</v>
      </c>
      <c r="F38" s="2">
        <v>12950</v>
      </c>
      <c r="G38" s="2">
        <v>12704.80100000001</v>
      </c>
      <c r="H38" s="2">
        <v>92618.945999999996</v>
      </c>
      <c r="I38" s="2">
        <f t="shared" si="0"/>
        <v>72822.925000000017</v>
      </c>
      <c r="J38" s="2">
        <f t="shared" si="1"/>
        <v>19796.020999999979</v>
      </c>
      <c r="K38" t="s">
        <v>140</v>
      </c>
    </row>
    <row r="39" spans="1:11" x14ac:dyDescent="0.25">
      <c r="A39" s="110" t="s">
        <v>69</v>
      </c>
      <c r="B39" s="113">
        <v>92</v>
      </c>
      <c r="C39" s="113">
        <v>172</v>
      </c>
      <c r="D39" s="2">
        <v>850600</v>
      </c>
      <c r="E39" s="2">
        <v>42882.403400000003</v>
      </c>
      <c r="F39" s="2">
        <v>12300</v>
      </c>
      <c r="G39" s="2">
        <v>10618.906800000002</v>
      </c>
      <c r="H39" s="2">
        <v>87595.089000000007</v>
      </c>
      <c r="I39" s="2">
        <f t="shared" si="0"/>
        <v>65801.310200000007</v>
      </c>
      <c r="J39" s="2">
        <f t="shared" si="1"/>
        <v>21793.7788</v>
      </c>
      <c r="K39" s="2">
        <f>AVERAGE(J31:J42)</f>
        <v>17319.299941666664</v>
      </c>
    </row>
    <row r="40" spans="1:11" x14ac:dyDescent="0.25">
      <c r="A40" s="110" t="s">
        <v>70</v>
      </c>
      <c r="B40" s="113">
        <v>96</v>
      </c>
      <c r="C40" s="113">
        <v>193</v>
      </c>
      <c r="D40" s="2">
        <v>963902</v>
      </c>
      <c r="E40" s="2">
        <v>48069.309600000001</v>
      </c>
      <c r="F40" s="2">
        <v>14050</v>
      </c>
      <c r="G40" s="2">
        <v>14363.546400000003</v>
      </c>
      <c r="H40" s="2">
        <v>96584.414999999994</v>
      </c>
      <c r="I40" s="2">
        <f t="shared" si="0"/>
        <v>76482.856</v>
      </c>
      <c r="J40" s="2">
        <f t="shared" si="1"/>
        <v>20101.558999999994</v>
      </c>
    </row>
    <row r="41" spans="1:11" x14ac:dyDescent="0.25">
      <c r="A41" s="110" t="s">
        <v>71</v>
      </c>
      <c r="B41" s="113">
        <v>92</v>
      </c>
      <c r="C41" s="113">
        <v>151</v>
      </c>
      <c r="D41" s="2">
        <v>743616</v>
      </c>
      <c r="E41" s="2">
        <v>37129.4571</v>
      </c>
      <c r="F41" s="2">
        <v>10900</v>
      </c>
      <c r="G41" s="2">
        <v>10660.475400000003</v>
      </c>
      <c r="H41" s="2">
        <v>75562.126000000004</v>
      </c>
      <c r="I41" s="2">
        <f t="shared" si="0"/>
        <v>58689.932500000003</v>
      </c>
      <c r="J41" s="2">
        <f t="shared" si="1"/>
        <v>16872.193500000001</v>
      </c>
    </row>
    <row r="42" spans="1:11" x14ac:dyDescent="0.25">
      <c r="A42" s="110" t="s">
        <v>72</v>
      </c>
      <c r="B42" s="113">
        <v>90</v>
      </c>
      <c r="C42" s="113">
        <v>167</v>
      </c>
      <c r="D42" s="2">
        <v>845580</v>
      </c>
      <c r="E42" s="2">
        <v>42428.968399999998</v>
      </c>
      <c r="F42" s="2">
        <v>13250</v>
      </c>
      <c r="G42" s="2">
        <v>11364.960300000001</v>
      </c>
      <c r="H42" s="2">
        <v>83726.726999999999</v>
      </c>
      <c r="I42" s="2">
        <f t="shared" si="0"/>
        <v>67043.928700000004</v>
      </c>
      <c r="J42" s="2">
        <f t="shared" si="1"/>
        <v>16682.798299999995</v>
      </c>
    </row>
    <row r="43" spans="1:11" x14ac:dyDescent="0.25">
      <c r="A43" s="111" t="s">
        <v>77</v>
      </c>
      <c r="B43" s="113">
        <v>281</v>
      </c>
      <c r="C43" s="113">
        <v>1959</v>
      </c>
      <c r="D43" s="2">
        <v>9833888</v>
      </c>
      <c r="E43" s="2">
        <v>494482.12359999999</v>
      </c>
      <c r="F43" s="2">
        <v>142550</v>
      </c>
      <c r="G43" s="2">
        <v>138216.92109999974</v>
      </c>
      <c r="H43" s="2">
        <v>983080.64399999997</v>
      </c>
      <c r="I43" s="2">
        <f t="shared" si="0"/>
        <v>775249.04469999974</v>
      </c>
      <c r="J43" s="2">
        <f t="shared" si="1"/>
        <v>207831.59930000023</v>
      </c>
    </row>
    <row r="44" spans="1:11" x14ac:dyDescent="0.25">
      <c r="A44" s="111" t="s">
        <v>78</v>
      </c>
      <c r="B44" s="113"/>
      <c r="C44" s="113"/>
      <c r="D44" s="2"/>
      <c r="E44" s="2"/>
      <c r="F44" s="2"/>
      <c r="G44" s="2"/>
      <c r="H44" s="2"/>
      <c r="I44" s="2">
        <f t="shared" si="0"/>
        <v>0</v>
      </c>
      <c r="J44" s="2">
        <f t="shared" si="1"/>
        <v>0</v>
      </c>
    </row>
    <row r="45" spans="1:11" x14ac:dyDescent="0.25">
      <c r="A45" s="110" t="s">
        <v>61</v>
      </c>
      <c r="B45" s="113">
        <v>65</v>
      </c>
      <c r="C45" s="113">
        <v>131</v>
      </c>
      <c r="D45" s="2">
        <v>683203</v>
      </c>
      <c r="E45" s="2">
        <v>33527.069199999998</v>
      </c>
      <c r="F45" s="2">
        <v>9450</v>
      </c>
      <c r="G45" s="2">
        <v>9719.4655999999995</v>
      </c>
      <c r="H45" s="2">
        <v>68904.623000000007</v>
      </c>
      <c r="I45" s="2">
        <f t="shared" si="0"/>
        <v>52696.534799999994</v>
      </c>
      <c r="J45" s="2">
        <f t="shared" si="1"/>
        <v>16208.088200000013</v>
      </c>
    </row>
    <row r="46" spans="1:11" x14ac:dyDescent="0.25">
      <c r="A46" s="110" t="s">
        <v>62</v>
      </c>
      <c r="B46" s="113">
        <v>52</v>
      </c>
      <c r="C46" s="113">
        <v>101</v>
      </c>
      <c r="D46" s="2">
        <v>513266</v>
      </c>
      <c r="E46" s="2">
        <v>26000.093000000001</v>
      </c>
      <c r="F46" s="2">
        <v>6500</v>
      </c>
      <c r="G46" s="2">
        <v>7754.4991000000018</v>
      </c>
      <c r="H46" s="2">
        <v>50246.544999999998</v>
      </c>
      <c r="I46" s="2">
        <f t="shared" si="0"/>
        <v>40254.592100000002</v>
      </c>
      <c r="J46" s="2">
        <f t="shared" si="1"/>
        <v>9991.9528999999966</v>
      </c>
    </row>
    <row r="47" spans="1:11" x14ac:dyDescent="0.25">
      <c r="A47" s="110" t="s">
        <v>63</v>
      </c>
      <c r="B47" s="113">
        <v>39</v>
      </c>
      <c r="C47" s="113">
        <v>88</v>
      </c>
      <c r="D47" s="2">
        <v>414934</v>
      </c>
      <c r="E47" s="2">
        <v>20640.569599999999</v>
      </c>
      <c r="F47" s="2">
        <v>6400</v>
      </c>
      <c r="G47" s="2">
        <v>5594.412800000001</v>
      </c>
      <c r="H47" s="2">
        <v>41567.828000000001</v>
      </c>
      <c r="I47" s="2">
        <f t="shared" si="0"/>
        <v>32634.982400000001</v>
      </c>
      <c r="J47" s="2">
        <f t="shared" si="1"/>
        <v>8932.8456000000006</v>
      </c>
    </row>
    <row r="48" spans="1:11" x14ac:dyDescent="0.25">
      <c r="A48" s="111" t="s">
        <v>79</v>
      </c>
      <c r="B48" s="113">
        <v>82</v>
      </c>
      <c r="C48" s="113">
        <v>320</v>
      </c>
      <c r="D48" s="2">
        <v>1611403</v>
      </c>
      <c r="E48" s="2">
        <v>80167.731799999994</v>
      </c>
      <c r="F48" s="2">
        <v>22350</v>
      </c>
      <c r="G48" s="2">
        <v>23068.377499999991</v>
      </c>
      <c r="H48" s="2">
        <v>160718.99600000001</v>
      </c>
    </row>
    <row r="49" spans="1:8" x14ac:dyDescent="0.25">
      <c r="A49" s="111" t="s">
        <v>80</v>
      </c>
      <c r="B49" s="113">
        <v>566</v>
      </c>
      <c r="C49" s="113">
        <v>5568</v>
      </c>
      <c r="D49" s="2">
        <v>27801262</v>
      </c>
      <c r="E49" s="2">
        <v>1391545.9809999999</v>
      </c>
      <c r="F49" s="2">
        <v>414300</v>
      </c>
      <c r="G49" s="2">
        <v>392993.29660000035</v>
      </c>
      <c r="H49" s="2">
        <v>2774582.108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EC0F-606B-4788-9F21-3FAED5A59373}">
  <dimension ref="A1:R32"/>
  <sheetViews>
    <sheetView topLeftCell="C1" workbookViewId="0">
      <selection activeCell="G25" sqref="G25"/>
    </sheetView>
  </sheetViews>
  <sheetFormatPr defaultRowHeight="15" x14ac:dyDescent="0.25"/>
  <cols>
    <col min="1" max="1" width="7.5703125" bestFit="1" customWidth="1"/>
    <col min="2" max="2" width="14.85546875" bestFit="1" customWidth="1"/>
    <col min="3" max="3" width="16.85546875" bestFit="1" customWidth="1"/>
    <col min="4" max="4" width="11.5703125" bestFit="1" customWidth="1"/>
    <col min="5" max="5" width="15.140625" bestFit="1" customWidth="1"/>
    <col min="6" max="6" width="15.85546875" bestFit="1" customWidth="1"/>
    <col min="7" max="7" width="16.28515625" bestFit="1" customWidth="1"/>
    <col min="8" max="8" width="23" bestFit="1" customWidth="1"/>
    <col min="9" max="9" width="18.140625" bestFit="1" customWidth="1"/>
    <col min="10" max="10" width="16.5703125" bestFit="1" customWidth="1"/>
    <col min="11" max="11" width="24.140625" bestFit="1" customWidth="1"/>
    <col min="12" max="12" width="18.85546875" customWidth="1"/>
    <col min="13" max="13" width="17.85546875" customWidth="1"/>
    <col min="14" max="16" width="9.140625" customWidth="1"/>
    <col min="17" max="17" width="13.28515625" customWidth="1"/>
    <col min="18" max="18" width="9.140625" customWidth="1"/>
  </cols>
  <sheetData>
    <row r="1" spans="1:18" x14ac:dyDescent="0.25">
      <c r="A1" s="94" t="s">
        <v>82</v>
      </c>
      <c r="B1" s="95" t="s">
        <v>83</v>
      </c>
      <c r="C1" s="95" t="s">
        <v>84</v>
      </c>
      <c r="D1" s="95" t="s">
        <v>85</v>
      </c>
      <c r="E1" s="95" t="s">
        <v>86</v>
      </c>
      <c r="F1" s="95" t="s">
        <v>87</v>
      </c>
      <c r="G1" s="95" t="s">
        <v>88</v>
      </c>
      <c r="H1" s="95" t="s">
        <v>89</v>
      </c>
      <c r="I1" s="95" t="s">
        <v>90</v>
      </c>
      <c r="J1" s="95" t="s">
        <v>91</v>
      </c>
      <c r="K1" s="95" t="s">
        <v>92</v>
      </c>
      <c r="L1" s="95" t="s">
        <v>93</v>
      </c>
      <c r="M1" s="95" t="s">
        <v>94</v>
      </c>
      <c r="N1" s="95" t="s">
        <v>95</v>
      </c>
      <c r="O1" s="95" t="s">
        <v>96</v>
      </c>
      <c r="P1" s="95" t="s">
        <v>97</v>
      </c>
      <c r="Q1" s="95" t="s">
        <v>98</v>
      </c>
      <c r="R1" s="96" t="s">
        <v>99</v>
      </c>
    </row>
    <row r="2" spans="1:18" x14ac:dyDescent="0.25">
      <c r="A2" s="97">
        <v>122981</v>
      </c>
      <c r="B2" s="18">
        <v>1142437</v>
      </c>
      <c r="C2" s="41">
        <v>2855</v>
      </c>
      <c r="D2" s="41">
        <v>291.20999999999998</v>
      </c>
      <c r="E2" s="41">
        <v>156.16849999999999</v>
      </c>
      <c r="F2" s="41">
        <v>100</v>
      </c>
      <c r="G2" s="41">
        <v>62.81</v>
      </c>
      <c r="H2" s="18">
        <f>IF(C2&gt;=3000,1,0)</f>
        <v>0</v>
      </c>
      <c r="I2" s="41">
        <f>IF(H2=1,C2*0.01,0)</f>
        <v>0</v>
      </c>
      <c r="J2" s="41">
        <f>D2-E2-F2-G2</f>
        <v>-27.768500000000017</v>
      </c>
      <c r="K2" s="41">
        <f>J2-I2</f>
        <v>-27.768500000000017</v>
      </c>
      <c r="L2" s="114">
        <v>44652</v>
      </c>
      <c r="M2" s="114">
        <v>44480</v>
      </c>
      <c r="N2" s="18" t="s">
        <v>100</v>
      </c>
      <c r="O2" s="18" t="s">
        <v>101</v>
      </c>
      <c r="P2" s="18">
        <v>167</v>
      </c>
      <c r="Q2" s="18" t="s">
        <v>102</v>
      </c>
      <c r="R2" s="98" t="s">
        <v>103</v>
      </c>
    </row>
    <row r="3" spans="1:18" x14ac:dyDescent="0.25">
      <c r="A3" s="97">
        <v>122328</v>
      </c>
      <c r="B3" s="18">
        <v>1131221</v>
      </c>
      <c r="C3" s="41">
        <v>5882</v>
      </c>
      <c r="D3" s="41">
        <v>523.49800000000005</v>
      </c>
      <c r="E3" s="41">
        <v>330.5684</v>
      </c>
      <c r="F3" s="41">
        <v>50</v>
      </c>
      <c r="G3" s="41"/>
      <c r="H3" s="18">
        <f t="shared" ref="H3:H23" si="0">IF(C3&gt;=3000,1,0)</f>
        <v>1</v>
      </c>
      <c r="I3" s="41">
        <f t="shared" ref="I3:I23" si="1">IF(H3=1,C3*0.01,0)</f>
        <v>58.82</v>
      </c>
      <c r="J3" s="41">
        <f t="shared" ref="J3:J23" si="2">D3-E3-F3-G3</f>
        <v>142.92960000000005</v>
      </c>
      <c r="K3" s="41">
        <f t="shared" ref="K3:K23" si="3">J3-I3</f>
        <v>84.109600000000057</v>
      </c>
      <c r="L3" s="114">
        <v>44652</v>
      </c>
      <c r="M3" s="114">
        <v>44478</v>
      </c>
      <c r="N3" s="18" t="s">
        <v>100</v>
      </c>
      <c r="O3" s="18" t="s">
        <v>104</v>
      </c>
      <c r="P3" s="18">
        <v>159</v>
      </c>
      <c r="Q3" s="18" t="s">
        <v>105</v>
      </c>
      <c r="R3" s="98" t="s">
        <v>103</v>
      </c>
    </row>
    <row r="4" spans="1:18" x14ac:dyDescent="0.25">
      <c r="A4" s="97">
        <v>125055</v>
      </c>
      <c r="B4" s="18">
        <v>1176646</v>
      </c>
      <c r="C4" s="41">
        <v>5098</v>
      </c>
      <c r="D4" s="41">
        <v>407.84</v>
      </c>
      <c r="E4" s="41">
        <v>237.05699999999999</v>
      </c>
      <c r="F4" s="41">
        <v>150</v>
      </c>
      <c r="G4" s="41"/>
      <c r="H4" s="18">
        <f t="shared" si="0"/>
        <v>1</v>
      </c>
      <c r="I4" s="41">
        <f t="shared" si="1"/>
        <v>50.980000000000004</v>
      </c>
      <c r="J4" s="41">
        <f t="shared" si="2"/>
        <v>20.782999999999987</v>
      </c>
      <c r="K4" s="41">
        <f t="shared" si="3"/>
        <v>-30.197000000000017</v>
      </c>
      <c r="L4" s="114">
        <v>44654</v>
      </c>
      <c r="M4" s="114">
        <v>44470</v>
      </c>
      <c r="N4" s="18" t="s">
        <v>100</v>
      </c>
      <c r="O4" s="18" t="s">
        <v>104</v>
      </c>
      <c r="P4" s="18">
        <v>36</v>
      </c>
      <c r="Q4" s="18" t="s">
        <v>106</v>
      </c>
      <c r="R4" s="98" t="s">
        <v>103</v>
      </c>
    </row>
    <row r="5" spans="1:18" x14ac:dyDescent="0.25">
      <c r="A5" s="97">
        <v>123742</v>
      </c>
      <c r="B5" s="18">
        <v>1155319</v>
      </c>
      <c r="C5" s="41">
        <v>6977</v>
      </c>
      <c r="D5" s="41">
        <v>606.99900000000002</v>
      </c>
      <c r="E5" s="41">
        <v>336.98910000000001</v>
      </c>
      <c r="F5" s="41">
        <v>50</v>
      </c>
      <c r="G5" s="41"/>
      <c r="H5" s="18">
        <f t="shared" si="0"/>
        <v>1</v>
      </c>
      <c r="I5" s="41">
        <f t="shared" si="1"/>
        <v>69.77</v>
      </c>
      <c r="J5" s="41">
        <f t="shared" si="2"/>
        <v>220.00990000000002</v>
      </c>
      <c r="K5" s="41">
        <f t="shared" si="3"/>
        <v>150.23990000000003</v>
      </c>
      <c r="L5" s="114">
        <v>44654</v>
      </c>
      <c r="M5" s="114">
        <v>44501</v>
      </c>
      <c r="N5" s="18" t="s">
        <v>100</v>
      </c>
      <c r="O5" s="18" t="s">
        <v>107</v>
      </c>
      <c r="P5" s="18">
        <v>143</v>
      </c>
      <c r="Q5" s="18" t="s">
        <v>102</v>
      </c>
      <c r="R5" s="98" t="s">
        <v>103</v>
      </c>
    </row>
    <row r="6" spans="1:18" x14ac:dyDescent="0.25">
      <c r="A6" s="97">
        <v>123363</v>
      </c>
      <c r="B6" s="18">
        <v>1148952</v>
      </c>
      <c r="C6" s="41">
        <v>2943</v>
      </c>
      <c r="D6" s="41">
        <v>329.61599999999999</v>
      </c>
      <c r="E6" s="41">
        <v>150.6816</v>
      </c>
      <c r="F6" s="41"/>
      <c r="G6" s="41">
        <v>54.151200000000003</v>
      </c>
      <c r="H6" s="18">
        <f t="shared" si="0"/>
        <v>0</v>
      </c>
      <c r="I6" s="41">
        <f t="shared" si="1"/>
        <v>0</v>
      </c>
      <c r="J6" s="41">
        <f t="shared" si="2"/>
        <v>124.78319999999998</v>
      </c>
      <c r="K6" s="41">
        <f t="shared" si="3"/>
        <v>124.78319999999998</v>
      </c>
      <c r="L6" s="114">
        <v>44656</v>
      </c>
      <c r="M6" s="114">
        <v>44500</v>
      </c>
      <c r="N6" s="18" t="s">
        <v>100</v>
      </c>
      <c r="O6" s="18" t="s">
        <v>101</v>
      </c>
      <c r="P6" s="18">
        <v>102</v>
      </c>
      <c r="Q6" s="18" t="s">
        <v>108</v>
      </c>
      <c r="R6" s="98" t="s">
        <v>103</v>
      </c>
    </row>
    <row r="7" spans="1:18" x14ac:dyDescent="0.25">
      <c r="A7" s="97">
        <v>124492</v>
      </c>
      <c r="B7" s="18">
        <v>1167527</v>
      </c>
      <c r="C7" s="41">
        <v>3868</v>
      </c>
      <c r="D7" s="41">
        <v>421.61200000000002</v>
      </c>
      <c r="E7" s="41">
        <v>163.2296</v>
      </c>
      <c r="F7" s="41"/>
      <c r="G7" s="41">
        <v>87.03</v>
      </c>
      <c r="H7" s="18">
        <f t="shared" si="0"/>
        <v>1</v>
      </c>
      <c r="I7" s="41">
        <f t="shared" si="1"/>
        <v>38.68</v>
      </c>
      <c r="J7" s="41">
        <f t="shared" si="2"/>
        <v>171.35240000000002</v>
      </c>
      <c r="K7" s="41">
        <f t="shared" si="3"/>
        <v>132.67240000000001</v>
      </c>
      <c r="L7" s="114">
        <v>44657</v>
      </c>
      <c r="M7" s="114">
        <v>44529</v>
      </c>
      <c r="N7" s="18" t="s">
        <v>100</v>
      </c>
      <c r="O7" s="18" t="s">
        <v>107</v>
      </c>
      <c r="P7" s="18">
        <v>83</v>
      </c>
      <c r="Q7" s="18" t="s">
        <v>109</v>
      </c>
      <c r="R7" s="98" t="s">
        <v>103</v>
      </c>
    </row>
    <row r="8" spans="1:18" x14ac:dyDescent="0.25">
      <c r="A8" s="97">
        <v>128954</v>
      </c>
      <c r="B8" s="18">
        <v>1243737</v>
      </c>
      <c r="C8" s="41">
        <v>8373</v>
      </c>
      <c r="D8" s="41">
        <v>812.18100000000004</v>
      </c>
      <c r="E8" s="41">
        <v>432.88409999999999</v>
      </c>
      <c r="F8" s="41">
        <v>150</v>
      </c>
      <c r="G8" s="41">
        <v>145.6902</v>
      </c>
      <c r="H8" s="18">
        <f t="shared" si="0"/>
        <v>1</v>
      </c>
      <c r="I8" s="41">
        <f t="shared" si="1"/>
        <v>83.73</v>
      </c>
      <c r="J8" s="41">
        <f t="shared" si="2"/>
        <v>83.606700000000046</v>
      </c>
      <c r="K8" s="41">
        <f t="shared" si="3"/>
        <v>-0.12329999999995778</v>
      </c>
      <c r="L8" s="114">
        <v>44657</v>
      </c>
      <c r="M8" s="114">
        <v>44468</v>
      </c>
      <c r="N8" s="18" t="s">
        <v>100</v>
      </c>
      <c r="O8" s="18" t="s">
        <v>107</v>
      </c>
      <c r="P8" s="18">
        <v>137</v>
      </c>
      <c r="Q8" s="18" t="s">
        <v>110</v>
      </c>
      <c r="R8" s="98" t="s">
        <v>103</v>
      </c>
    </row>
    <row r="9" spans="1:18" x14ac:dyDescent="0.25">
      <c r="A9" s="97">
        <v>122328</v>
      </c>
      <c r="B9" s="18">
        <v>1131214</v>
      </c>
      <c r="C9" s="41">
        <v>2550</v>
      </c>
      <c r="D9" s="41">
        <v>252.45</v>
      </c>
      <c r="E9" s="41">
        <v>102</v>
      </c>
      <c r="F9" s="41">
        <v>150</v>
      </c>
      <c r="G9" s="41"/>
      <c r="H9" s="18">
        <f t="shared" si="0"/>
        <v>0</v>
      </c>
      <c r="I9" s="41">
        <f t="shared" si="1"/>
        <v>0</v>
      </c>
      <c r="J9" s="41">
        <f t="shared" si="2"/>
        <v>0.44999999999998863</v>
      </c>
      <c r="K9" s="41">
        <f t="shared" si="3"/>
        <v>0.44999999999998863</v>
      </c>
      <c r="L9" s="114">
        <v>44659</v>
      </c>
      <c r="M9" s="114">
        <v>44478</v>
      </c>
      <c r="N9" s="18" t="s">
        <v>100</v>
      </c>
      <c r="O9" s="18" t="s">
        <v>104</v>
      </c>
      <c r="P9" s="18">
        <v>159</v>
      </c>
      <c r="Q9" s="18" t="s">
        <v>105</v>
      </c>
      <c r="R9" s="98" t="s">
        <v>103</v>
      </c>
    </row>
    <row r="10" spans="1:18" x14ac:dyDescent="0.25">
      <c r="A10" s="97">
        <v>130285</v>
      </c>
      <c r="B10" s="18">
        <v>1265634</v>
      </c>
      <c r="C10" s="41">
        <v>2545</v>
      </c>
      <c r="D10" s="41">
        <v>277.40499999999997</v>
      </c>
      <c r="E10" s="41">
        <v>103.327</v>
      </c>
      <c r="F10" s="41"/>
      <c r="G10" s="41"/>
      <c r="H10" s="18">
        <f t="shared" si="0"/>
        <v>0</v>
      </c>
      <c r="I10" s="41">
        <f t="shared" si="1"/>
        <v>0</v>
      </c>
      <c r="J10" s="41">
        <f t="shared" si="2"/>
        <v>174.07799999999997</v>
      </c>
      <c r="K10" s="41">
        <f t="shared" si="3"/>
        <v>174.07799999999997</v>
      </c>
      <c r="L10" s="114">
        <v>44659</v>
      </c>
      <c r="M10" s="114">
        <v>44481</v>
      </c>
      <c r="N10" s="18" t="s">
        <v>100</v>
      </c>
      <c r="O10" s="18" t="s">
        <v>101</v>
      </c>
      <c r="P10" s="18">
        <v>76</v>
      </c>
      <c r="Q10" s="18" t="s">
        <v>111</v>
      </c>
      <c r="R10" s="98" t="s">
        <v>103</v>
      </c>
    </row>
    <row r="11" spans="1:18" x14ac:dyDescent="0.25">
      <c r="A11" s="97">
        <v>124492</v>
      </c>
      <c r="B11" s="18">
        <v>1167506</v>
      </c>
      <c r="C11" s="41">
        <v>4449</v>
      </c>
      <c r="D11" s="41">
        <v>489.39</v>
      </c>
      <c r="E11" s="41">
        <v>243.80520000000001</v>
      </c>
      <c r="F11" s="41">
        <v>150</v>
      </c>
      <c r="G11" s="41">
        <v>94.7637</v>
      </c>
      <c r="H11" s="18">
        <f t="shared" si="0"/>
        <v>1</v>
      </c>
      <c r="I11" s="41">
        <f t="shared" si="1"/>
        <v>44.49</v>
      </c>
      <c r="J11" s="41">
        <f t="shared" si="2"/>
        <v>0.82109999999997285</v>
      </c>
      <c r="K11" s="41">
        <f t="shared" si="3"/>
        <v>-43.668900000000029</v>
      </c>
      <c r="L11" s="114">
        <v>44659</v>
      </c>
      <c r="M11" s="114">
        <v>44529</v>
      </c>
      <c r="N11" s="18" t="s">
        <v>100</v>
      </c>
      <c r="O11" s="18" t="s">
        <v>107</v>
      </c>
      <c r="P11" s="18">
        <v>83</v>
      </c>
      <c r="Q11" s="18" t="s">
        <v>109</v>
      </c>
      <c r="R11" s="98" t="s">
        <v>103</v>
      </c>
    </row>
    <row r="12" spans="1:18" x14ac:dyDescent="0.25">
      <c r="A12" s="97">
        <v>128954</v>
      </c>
      <c r="B12" s="18">
        <v>1243705</v>
      </c>
      <c r="C12" s="41">
        <v>5563</v>
      </c>
      <c r="D12" s="41">
        <v>661.99699999999996</v>
      </c>
      <c r="E12" s="41">
        <v>292.61380000000003</v>
      </c>
      <c r="F12" s="41"/>
      <c r="G12" s="41">
        <v>87.895399999999995</v>
      </c>
      <c r="H12" s="18">
        <f t="shared" si="0"/>
        <v>1</v>
      </c>
      <c r="I12" s="41">
        <f t="shared" si="1"/>
        <v>55.63</v>
      </c>
      <c r="J12" s="41">
        <f t="shared" si="2"/>
        <v>281.48779999999994</v>
      </c>
      <c r="K12" s="41">
        <f t="shared" si="3"/>
        <v>225.85779999999994</v>
      </c>
      <c r="L12" s="114">
        <v>44662</v>
      </c>
      <c r="M12" s="114">
        <v>44468</v>
      </c>
      <c r="N12" s="18" t="s">
        <v>100</v>
      </c>
      <c r="O12" s="18" t="s">
        <v>107</v>
      </c>
      <c r="P12" s="18">
        <v>137</v>
      </c>
      <c r="Q12" s="18" t="s">
        <v>110</v>
      </c>
      <c r="R12" s="98" t="s">
        <v>103</v>
      </c>
    </row>
    <row r="13" spans="1:18" x14ac:dyDescent="0.25">
      <c r="A13" s="97">
        <v>130285</v>
      </c>
      <c r="B13" s="18">
        <v>1265604</v>
      </c>
      <c r="C13" s="41">
        <v>5331</v>
      </c>
      <c r="D13" s="41">
        <v>565.08600000000001</v>
      </c>
      <c r="E13" s="41">
        <v>261.75209999999998</v>
      </c>
      <c r="F13" s="41"/>
      <c r="G13" s="41"/>
      <c r="H13" s="18">
        <f t="shared" si="0"/>
        <v>1</v>
      </c>
      <c r="I13" s="41">
        <f t="shared" si="1"/>
        <v>53.31</v>
      </c>
      <c r="J13" s="41">
        <f t="shared" si="2"/>
        <v>303.33390000000003</v>
      </c>
      <c r="K13" s="41">
        <f t="shared" si="3"/>
        <v>250.02390000000003</v>
      </c>
      <c r="L13" s="114">
        <v>44666</v>
      </c>
      <c r="M13" s="114">
        <v>44481</v>
      </c>
      <c r="N13" s="18" t="s">
        <v>100</v>
      </c>
      <c r="O13" s="18" t="s">
        <v>101</v>
      </c>
      <c r="P13" s="18">
        <v>76</v>
      </c>
      <c r="Q13" s="18" t="s">
        <v>111</v>
      </c>
      <c r="R13" s="98" t="s">
        <v>103</v>
      </c>
    </row>
    <row r="14" spans="1:18" x14ac:dyDescent="0.25">
      <c r="A14" s="97">
        <v>123604</v>
      </c>
      <c r="B14" s="18">
        <v>1153045</v>
      </c>
      <c r="C14" s="41">
        <v>7755</v>
      </c>
      <c r="D14" s="41">
        <v>829.78499999999997</v>
      </c>
      <c r="E14" s="41">
        <v>369.9135</v>
      </c>
      <c r="F14" s="41">
        <v>50</v>
      </c>
      <c r="G14" s="41">
        <v>162.85499999999999</v>
      </c>
      <c r="H14" s="18">
        <f t="shared" si="0"/>
        <v>1</v>
      </c>
      <c r="I14" s="41">
        <f t="shared" si="1"/>
        <v>77.55</v>
      </c>
      <c r="J14" s="41">
        <f t="shared" si="2"/>
        <v>247.01649999999998</v>
      </c>
      <c r="K14" s="41">
        <f t="shared" si="3"/>
        <v>169.4665</v>
      </c>
      <c r="L14" s="114">
        <v>44667</v>
      </c>
      <c r="M14" s="114">
        <v>44517</v>
      </c>
      <c r="N14" s="18" t="s">
        <v>100</v>
      </c>
      <c r="O14" s="18" t="s">
        <v>104</v>
      </c>
      <c r="P14" s="18">
        <v>122</v>
      </c>
      <c r="Q14" s="18" t="s">
        <v>112</v>
      </c>
      <c r="R14" s="98" t="s">
        <v>103</v>
      </c>
    </row>
    <row r="15" spans="1:18" x14ac:dyDescent="0.25">
      <c r="A15" s="97">
        <v>121995</v>
      </c>
      <c r="B15" s="18">
        <v>1125507</v>
      </c>
      <c r="C15" s="41">
        <v>4236</v>
      </c>
      <c r="D15" s="41">
        <v>478.66800000000001</v>
      </c>
      <c r="E15" s="41">
        <v>197.8212</v>
      </c>
      <c r="F15" s="41">
        <v>50</v>
      </c>
      <c r="G15" s="41">
        <v>68.623199999999997</v>
      </c>
      <c r="H15" s="18">
        <f t="shared" si="0"/>
        <v>1</v>
      </c>
      <c r="I15" s="41">
        <f t="shared" si="1"/>
        <v>42.36</v>
      </c>
      <c r="J15" s="41">
        <f t="shared" si="2"/>
        <v>162.22360000000003</v>
      </c>
      <c r="K15" s="41">
        <f t="shared" si="3"/>
        <v>119.86360000000003</v>
      </c>
      <c r="L15" s="114">
        <v>44668</v>
      </c>
      <c r="M15" s="114">
        <v>44523</v>
      </c>
      <c r="N15" s="18" t="s">
        <v>100</v>
      </c>
      <c r="O15" s="18" t="s">
        <v>107</v>
      </c>
      <c r="P15" s="18">
        <v>57</v>
      </c>
      <c r="Q15" s="18" t="s">
        <v>113</v>
      </c>
      <c r="R15" s="98" t="s">
        <v>103</v>
      </c>
    </row>
    <row r="16" spans="1:18" x14ac:dyDescent="0.25">
      <c r="A16" s="97">
        <v>121941</v>
      </c>
      <c r="B16" s="18">
        <v>1124551</v>
      </c>
      <c r="C16" s="41">
        <v>6448</v>
      </c>
      <c r="D16" s="41">
        <v>689.93600000000004</v>
      </c>
      <c r="E16" s="41">
        <v>266.30239999999998</v>
      </c>
      <c r="F16" s="41">
        <v>150</v>
      </c>
      <c r="G16" s="41">
        <v>125.736</v>
      </c>
      <c r="H16" s="18">
        <f t="shared" si="0"/>
        <v>1</v>
      </c>
      <c r="I16" s="41">
        <f t="shared" si="1"/>
        <v>64.48</v>
      </c>
      <c r="J16" s="41">
        <f t="shared" si="2"/>
        <v>147.89760000000007</v>
      </c>
      <c r="K16" s="41">
        <f t="shared" si="3"/>
        <v>83.417600000000064</v>
      </c>
      <c r="L16" s="114">
        <v>44671</v>
      </c>
      <c r="M16" s="114">
        <v>44479</v>
      </c>
      <c r="N16" s="18" t="s">
        <v>100</v>
      </c>
      <c r="O16" s="18" t="s">
        <v>101</v>
      </c>
      <c r="P16" s="18">
        <v>112</v>
      </c>
      <c r="Q16" s="18" t="s">
        <v>114</v>
      </c>
      <c r="R16" s="98" t="s">
        <v>103</v>
      </c>
    </row>
    <row r="17" spans="1:18" x14ac:dyDescent="0.25">
      <c r="A17" s="97">
        <v>124492</v>
      </c>
      <c r="B17" s="18">
        <v>1167529</v>
      </c>
      <c r="C17" s="41">
        <v>5514</v>
      </c>
      <c r="D17" s="41">
        <v>612.05399999999997</v>
      </c>
      <c r="E17" s="41">
        <v>296.65320000000003</v>
      </c>
      <c r="F17" s="41">
        <v>150</v>
      </c>
      <c r="G17" s="41"/>
      <c r="H17" s="18">
        <f t="shared" si="0"/>
        <v>1</v>
      </c>
      <c r="I17" s="41">
        <f t="shared" si="1"/>
        <v>55.14</v>
      </c>
      <c r="J17" s="41">
        <f t="shared" si="2"/>
        <v>165.40079999999995</v>
      </c>
      <c r="K17" s="41">
        <f t="shared" si="3"/>
        <v>110.26079999999995</v>
      </c>
      <c r="L17" s="114">
        <v>44672</v>
      </c>
      <c r="M17" s="114">
        <v>44529</v>
      </c>
      <c r="N17" s="18" t="s">
        <v>100</v>
      </c>
      <c r="O17" s="18" t="s">
        <v>107</v>
      </c>
      <c r="P17" s="18">
        <v>83</v>
      </c>
      <c r="Q17" s="18" t="s">
        <v>109</v>
      </c>
      <c r="R17" s="98" t="s">
        <v>103</v>
      </c>
    </row>
    <row r="18" spans="1:18" x14ac:dyDescent="0.25">
      <c r="A18" s="97">
        <v>124492</v>
      </c>
      <c r="B18" s="18">
        <v>1167507</v>
      </c>
      <c r="C18" s="41">
        <v>6734</v>
      </c>
      <c r="D18" s="41">
        <v>686.86800000000005</v>
      </c>
      <c r="E18" s="41">
        <v>342.76060000000001</v>
      </c>
      <c r="F18" s="41">
        <v>100</v>
      </c>
      <c r="G18" s="41"/>
      <c r="H18" s="18">
        <f t="shared" si="0"/>
        <v>1</v>
      </c>
      <c r="I18" s="41">
        <f t="shared" si="1"/>
        <v>67.34</v>
      </c>
      <c r="J18" s="41">
        <f t="shared" si="2"/>
        <v>244.10740000000004</v>
      </c>
      <c r="K18" s="41">
        <f t="shared" si="3"/>
        <v>176.76740000000004</v>
      </c>
      <c r="L18" s="114">
        <v>44672</v>
      </c>
      <c r="M18" s="114">
        <v>44529</v>
      </c>
      <c r="N18" s="18" t="s">
        <v>100</v>
      </c>
      <c r="O18" s="18" t="s">
        <v>107</v>
      </c>
      <c r="P18" s="18">
        <v>83</v>
      </c>
      <c r="Q18" s="18" t="s">
        <v>109</v>
      </c>
      <c r="R18" s="98" t="s">
        <v>103</v>
      </c>
    </row>
    <row r="19" spans="1:18" x14ac:dyDescent="0.25">
      <c r="A19" s="97">
        <v>122981</v>
      </c>
      <c r="B19" s="18">
        <v>1142433</v>
      </c>
      <c r="C19" s="41">
        <v>6153</v>
      </c>
      <c r="D19" s="41">
        <v>658.37099999999998</v>
      </c>
      <c r="E19" s="41">
        <v>361.79640000000001</v>
      </c>
      <c r="F19" s="41"/>
      <c r="G19" s="41">
        <v>113.2152</v>
      </c>
      <c r="H19" s="18">
        <f t="shared" si="0"/>
        <v>1</v>
      </c>
      <c r="I19" s="41">
        <f t="shared" si="1"/>
        <v>61.53</v>
      </c>
      <c r="J19" s="41">
        <f t="shared" si="2"/>
        <v>183.35939999999999</v>
      </c>
      <c r="K19" s="41">
        <f t="shared" si="3"/>
        <v>121.82939999999999</v>
      </c>
      <c r="L19" s="114">
        <v>44673</v>
      </c>
      <c r="M19" s="114">
        <v>44480</v>
      </c>
      <c r="N19" s="18" t="s">
        <v>100</v>
      </c>
      <c r="O19" s="18" t="s">
        <v>101</v>
      </c>
      <c r="P19" s="18">
        <v>167</v>
      </c>
      <c r="Q19" s="18" t="s">
        <v>102</v>
      </c>
      <c r="R19" s="98" t="s">
        <v>103</v>
      </c>
    </row>
    <row r="20" spans="1:18" x14ac:dyDescent="0.25">
      <c r="A20" s="97">
        <v>129635</v>
      </c>
      <c r="B20" s="18">
        <v>1255117</v>
      </c>
      <c r="C20" s="41">
        <v>1671</v>
      </c>
      <c r="D20" s="41">
        <v>187.15199999999999</v>
      </c>
      <c r="E20" s="41">
        <v>82.881600000000006</v>
      </c>
      <c r="F20" s="41"/>
      <c r="G20" s="41">
        <v>27.5715</v>
      </c>
      <c r="H20" s="18">
        <f t="shared" si="0"/>
        <v>0</v>
      </c>
      <c r="I20" s="41">
        <f t="shared" si="1"/>
        <v>0</v>
      </c>
      <c r="J20" s="41">
        <f t="shared" si="2"/>
        <v>76.698899999999981</v>
      </c>
      <c r="K20" s="41">
        <f t="shared" si="3"/>
        <v>76.698899999999981</v>
      </c>
      <c r="L20" s="114">
        <v>44674</v>
      </c>
      <c r="M20" s="114">
        <v>44506</v>
      </c>
      <c r="N20" s="18" t="s">
        <v>100</v>
      </c>
      <c r="O20" s="18" t="s">
        <v>107</v>
      </c>
      <c r="P20" s="18">
        <v>9</v>
      </c>
      <c r="Q20" s="18" t="s">
        <v>115</v>
      </c>
      <c r="R20" s="98" t="s">
        <v>103</v>
      </c>
    </row>
    <row r="21" spans="1:18" x14ac:dyDescent="0.25">
      <c r="A21" s="97">
        <v>123363</v>
      </c>
      <c r="B21" s="18">
        <v>1148933</v>
      </c>
      <c r="C21" s="41">
        <v>6491</v>
      </c>
      <c r="D21" s="41">
        <v>532.26199999999994</v>
      </c>
      <c r="E21" s="41">
        <v>280.41120000000001</v>
      </c>
      <c r="F21" s="41">
        <v>150</v>
      </c>
      <c r="G21" s="41"/>
      <c r="H21" s="18">
        <f t="shared" si="0"/>
        <v>1</v>
      </c>
      <c r="I21" s="41">
        <f t="shared" si="1"/>
        <v>64.91</v>
      </c>
      <c r="J21" s="41">
        <f t="shared" si="2"/>
        <v>101.85079999999994</v>
      </c>
      <c r="K21" s="41">
        <f t="shared" si="3"/>
        <v>36.940799999999939</v>
      </c>
      <c r="L21" s="114">
        <v>44676</v>
      </c>
      <c r="M21" s="114">
        <v>44500</v>
      </c>
      <c r="N21" s="18" t="s">
        <v>100</v>
      </c>
      <c r="O21" s="18" t="s">
        <v>101</v>
      </c>
      <c r="P21" s="18">
        <v>102</v>
      </c>
      <c r="Q21" s="18" t="s">
        <v>108</v>
      </c>
      <c r="R21" s="98" t="s">
        <v>103</v>
      </c>
    </row>
    <row r="22" spans="1:18" x14ac:dyDescent="0.25">
      <c r="A22" s="97">
        <v>131001</v>
      </c>
      <c r="B22" s="18">
        <v>1277170</v>
      </c>
      <c r="C22" s="41">
        <v>7531</v>
      </c>
      <c r="D22" s="41">
        <v>790.755</v>
      </c>
      <c r="E22" s="41">
        <v>366.75970000000001</v>
      </c>
      <c r="F22" s="41">
        <v>50</v>
      </c>
      <c r="G22" s="41">
        <v>156.6448</v>
      </c>
      <c r="H22" s="18">
        <f t="shared" si="0"/>
        <v>1</v>
      </c>
      <c r="I22" s="41">
        <f t="shared" si="1"/>
        <v>75.31</v>
      </c>
      <c r="J22" s="41">
        <f t="shared" si="2"/>
        <v>217.35049999999998</v>
      </c>
      <c r="K22" s="41">
        <f t="shared" si="3"/>
        <v>142.04049999999998</v>
      </c>
      <c r="L22" s="114">
        <v>44678</v>
      </c>
      <c r="M22" s="114">
        <v>44510</v>
      </c>
      <c r="N22" s="18" t="s">
        <v>100</v>
      </c>
      <c r="O22" s="18" t="s">
        <v>104</v>
      </c>
      <c r="P22" s="18">
        <v>94</v>
      </c>
      <c r="Q22" s="18" t="s">
        <v>116</v>
      </c>
      <c r="R22" s="98" t="s">
        <v>103</v>
      </c>
    </row>
    <row r="23" spans="1:18" ht="15.75" thickBot="1" x14ac:dyDescent="0.3">
      <c r="A23" s="99">
        <v>121995</v>
      </c>
      <c r="B23" s="100">
        <v>1125469</v>
      </c>
      <c r="C23" s="17">
        <v>4274</v>
      </c>
      <c r="D23" s="17">
        <v>508.60599999999999</v>
      </c>
      <c r="E23" s="17">
        <v>177.79839999999999</v>
      </c>
      <c r="F23" s="17">
        <v>50</v>
      </c>
      <c r="G23" s="17">
        <v>85.907399999999996</v>
      </c>
      <c r="H23" s="100">
        <f t="shared" si="0"/>
        <v>1</v>
      </c>
      <c r="I23" s="17">
        <f t="shared" si="1"/>
        <v>42.74</v>
      </c>
      <c r="J23" s="17">
        <f t="shared" si="2"/>
        <v>194.90019999999998</v>
      </c>
      <c r="K23" s="17">
        <f t="shared" si="3"/>
        <v>152.16019999999997</v>
      </c>
      <c r="L23" s="115">
        <v>44681</v>
      </c>
      <c r="M23" s="115">
        <v>44523</v>
      </c>
      <c r="N23" s="100" t="s">
        <v>100</v>
      </c>
      <c r="O23" s="100" t="s">
        <v>107</v>
      </c>
      <c r="P23" s="100">
        <v>57</v>
      </c>
      <c r="Q23" s="100" t="s">
        <v>113</v>
      </c>
      <c r="R23" s="101" t="s">
        <v>103</v>
      </c>
    </row>
    <row r="24" spans="1:18" x14ac:dyDescent="0.25">
      <c r="J24" s="5" t="s">
        <v>119</v>
      </c>
      <c r="K24" s="5" t="s">
        <v>120</v>
      </c>
    </row>
    <row r="25" spans="1:18" x14ac:dyDescent="0.25">
      <c r="A25" t="s">
        <v>117</v>
      </c>
      <c r="J25" s="5"/>
      <c r="K25" s="7">
        <v>-50000</v>
      </c>
    </row>
    <row r="26" spans="1:18" x14ac:dyDescent="0.25">
      <c r="A26" t="s">
        <v>118</v>
      </c>
      <c r="J26" s="116">
        <f>SUM(J2:J25)</f>
        <v>3236.6727999999998</v>
      </c>
      <c r="K26" s="116">
        <f>SUM(K2:K25)</f>
        <v>-47770.097200000004</v>
      </c>
    </row>
    <row r="29" spans="1:18" x14ac:dyDescent="0.25">
      <c r="B29" t="s">
        <v>149</v>
      </c>
    </row>
    <row r="30" spans="1:18" x14ac:dyDescent="0.25">
      <c r="B30" t="s">
        <v>150</v>
      </c>
    </row>
    <row r="31" spans="1:18" x14ac:dyDescent="0.25">
      <c r="B31" t="s">
        <v>151</v>
      </c>
    </row>
    <row r="32" spans="1:18" x14ac:dyDescent="0.25">
      <c r="B32"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6 0 2 ] ] > < / 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 2 0 2 2 - 0 3 - 1 0 T 2 3 : 2 3 : 1 0 . 1 1 4 7 8 7 3 + 0 4 : 0 0 < / L a s t P r o c e s s e d T i m e > < / D a t a M o d e l i n g S a n d b o x . S e r i a l i z e d S a n d b o x E r r o r C a c h e > ] ] > < / C u s t o m C o n t e n t > < / G e m i n i > 
</file>

<file path=customXml/itemProps1.xml><?xml version="1.0" encoding="utf-8"?>
<ds:datastoreItem xmlns:ds="http://schemas.openxmlformats.org/officeDocument/2006/customXml" ds:itemID="{5169C1F4-F9E2-4E0A-9D6D-CEF288620BE4}">
  <ds:schemaRefs/>
</ds:datastoreItem>
</file>

<file path=customXml/itemProps2.xml><?xml version="1.0" encoding="utf-8"?>
<ds:datastoreItem xmlns:ds="http://schemas.openxmlformats.org/officeDocument/2006/customXml" ds:itemID="{54DB377A-654E-450E-83D4-E8A1380A08C1}">
  <ds:schemaRefs/>
</ds:datastoreItem>
</file>

<file path=customXml/itemProps3.xml><?xml version="1.0" encoding="utf-8"?>
<ds:datastoreItem xmlns:ds="http://schemas.openxmlformats.org/officeDocument/2006/customXml" ds:itemID="{24AB6384-A3D8-4D6D-9755-6C7BAE975EE1}">
  <ds:schemaRefs/>
</ds:datastoreItem>
</file>

<file path=customXml/itemProps4.xml><?xml version="1.0" encoding="utf-8"?>
<ds:datastoreItem xmlns:ds="http://schemas.openxmlformats.org/officeDocument/2006/customXml" ds:itemID="{5C675403-A35E-40A9-9FCE-5F5568D3BA09}">
  <ds:schemaRefs/>
</ds:datastoreItem>
</file>

<file path=customXml/itemProps5.xml><?xml version="1.0" encoding="utf-8"?>
<ds:datastoreItem xmlns:ds="http://schemas.openxmlformats.org/officeDocument/2006/customXml" ds:itemID="{AB8A697F-074A-4252-9BD6-9B2B9A8BA7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Результаты запросов</vt:lpstr>
      <vt:lpstr>Модель рассчета 1 вариант  </vt:lpstr>
      <vt:lpstr>Модель рассчета вариант 2</vt:lpstr>
      <vt:lpstr>Исторические данные по региону</vt:lpstr>
      <vt:lpstr>ход акции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ХхХххх</cp:lastModifiedBy>
  <dcterms:created xsi:type="dcterms:W3CDTF">2022-03-05T12:30:19Z</dcterms:created>
  <dcterms:modified xsi:type="dcterms:W3CDTF">2022-03-10T19:23:25Z</dcterms:modified>
</cp:coreProperties>
</file>