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2.xml" ContentType="application/vnd.openxmlformats-officedocument.spreadsheetml.table+xml"/>
  <Override PartName="/xl/drawings/drawing13.xml" ContentType="application/vnd.openxmlformats-officedocument.drawing+xml"/>
  <Override PartName="/xl/drawings/drawing14.xml" ContentType="application/vnd.openxmlformats-officedocument.drawing+xml"/>
  <Override PartName="/xl/comments2.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9.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20.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1.xml" ContentType="application/vnd.openxmlformats-officedocument.drawing+xml"/>
  <Override PartName="/xl/tables/table3.xml" ContentType="application/vnd.openxmlformats-officedocument.spreadsheetml.table+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tables/table4.xml" ContentType="application/vnd.openxmlformats-officedocument.spreadsheetml.table+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tables/table5.xml" ContentType="application/vnd.openxmlformats-officedocument.spreadsheetml.table+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mc:AlternateContent xmlns:mc="http://schemas.openxmlformats.org/markup-compatibility/2006">
    <mc:Choice Requires="x15">
      <x15ac:absPath xmlns:x15ac="http://schemas.microsoft.com/office/spreadsheetml/2010/11/ac" url="C:\Users\veron\OneDrive\Desktop\Finex Training\"/>
    </mc:Choice>
  </mc:AlternateContent>
  <xr:revisionPtr revIDLastSave="0" documentId="13_ncr:1_{4787AFBF-71FD-415F-9C18-B11AB26B8207}" xr6:coauthVersionLast="47" xr6:coauthVersionMax="47" xr10:uidLastSave="{00000000-0000-0000-0000-000000000000}"/>
  <bookViews>
    <workbookView xWindow="-110" yWindow="-110" windowWidth="19420" windowHeight="10300" tabRatio="906" firstSheet="18" activeTab="20" xr2:uid="{F74D0629-0D27-4490-A1DF-D8A7D0D37769}"/>
  </bookViews>
  <sheets>
    <sheet name="Cover" sheetId="6" r:id="rId1"/>
    <sheet name="Table of Content" sheetId="37" r:id="rId2"/>
    <sheet name="Shortcuts" sheetId="43" r:id="rId3"/>
    <sheet name="HR Data" sheetId="44" r:id="rId4"/>
    <sheet name="Application -HR Data" sheetId="45" r:id="rId5"/>
    <sheet name="Referencing" sheetId="35" r:id="rId6"/>
    <sheet name="Branch A" sheetId="55" r:id="rId7"/>
    <sheet name="Branch B" sheetId="56" r:id="rId8"/>
    <sheet name="Branch C" sheetId="57" r:id="rId9"/>
    <sheet name="All Branch" sheetId="58" r:id="rId10"/>
    <sheet name="Data -Logic" sheetId="28" r:id="rId11"/>
    <sheet name="Data -Lookup" sheetId="52" r:id="rId12"/>
    <sheet name="Text Functions-Overview" sheetId="36" r:id="rId13"/>
    <sheet name="Text Functions-Practice" sheetId="39" r:id="rId14"/>
    <sheet name="Goal Seek" sheetId="64" r:id="rId15"/>
    <sheet name="Solver" sheetId="65" r:id="rId16"/>
    <sheet name="Scenario Manager" sheetId="66" r:id="rId17"/>
    <sheet name="Data Tables" sheetId="67" r:id="rId18"/>
    <sheet name="Top 5 Countries" sheetId="83" r:id="rId19"/>
    <sheet name="Top 3 Managers" sheetId="84" r:id="rId20"/>
    <sheet name="Dashboard" sheetId="89" r:id="rId21"/>
    <sheet name="Fees by Cargo" sheetId="85" r:id="rId22"/>
    <sheet name="Port Analysis" sheetId="86" r:id="rId23"/>
    <sheet name="Fees by month" sheetId="87" r:id="rId24"/>
    <sheet name="DATA" sheetId="69" r:id="rId25"/>
    <sheet name="Note Gallery" sheetId="50" r:id="rId26"/>
    <sheet name="Notes -Introduction to Excel" sheetId="62" r:id="rId27"/>
    <sheet name="Notes -Referencing" sheetId="54" r:id="rId28"/>
    <sheet name="Notes -Tables" sheetId="60" r:id="rId29"/>
    <sheet name="Notes -Aggregating Functions" sheetId="59" r:id="rId30"/>
    <sheet name="Notes -Logic Functions" sheetId="70" r:id="rId31"/>
    <sheet name="Notes -Lookup Functions" sheetId="71" r:id="rId32"/>
    <sheet name="Notes -Text Functions" sheetId="72" r:id="rId33"/>
    <sheet name="Notes -Dates &amp; Time Functions" sheetId="73" r:id="rId34"/>
    <sheet name="Notes -Financial Functions" sheetId="74" r:id="rId35"/>
    <sheet name="Notes -Goal Seek, Solver" sheetId="63" r:id="rId36"/>
    <sheet name="Notes -Pivot Table" sheetId="68" r:id="rId37"/>
    <sheet name="Assignment Gallery" sheetId="53" r:id="rId38"/>
    <sheet name="Assignment-Sales Data" sheetId="75" r:id="rId39"/>
    <sheet name="Assignment-Budget" sheetId="40" r:id="rId40"/>
    <sheet name="Assignment-Logic" sheetId="77" r:id="rId41"/>
    <sheet name="Assignment-Lookup" sheetId="79" r:id="rId42"/>
    <sheet name="Assignment-Text" sheetId="81" r:id="rId43"/>
    <sheet name="Video Gallery" sheetId="49" r:id="rId44"/>
    <sheet name="About Us" sheetId="80" r:id="rId45"/>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24" hidden="1">DATA!#REF!</definedName>
    <definedName name="_xlnm._FilterDatabase" localSheetId="2" hidden="1">Shortcuts!$C$13:$O$50</definedName>
    <definedName name="C.Rate">Referencing!$C$98</definedName>
    <definedName name="Commission">Referencing!$E$101:$E$110</definedName>
    <definedName name="dd" localSheetId="4" hidden="1">{"FirstQ",#N/A,FALSE,"Budget2000";"SecondQ",#N/A,FALSE,"Budget2000";"Summary",#N/A,FALSE,"Budget2000"}</definedName>
    <definedName name="dd" localSheetId="3" hidden="1">{"FirstQ",#N/A,FALSE,"Budget2000";"SecondQ",#N/A,FALSE,"Budget2000";"Summary",#N/A,FALSE,"Budget2000"}</definedName>
    <definedName name="dd" hidden="1">{"FirstQ",#N/A,FALSE,"Budget2000";"SecondQ",#N/A,FALSE,"Budget2000";"Summary",#N/A,FALSE,"Budget2000"}</definedName>
    <definedName name="ee" localSheetId="4" hidden="1">{"FirstQ",#N/A,FALSE,"Budget2000";"SecondQ",#N/A,FALSE,"Budget2000";"Summary",#N/A,FALSE,"Budget2000"}</definedName>
    <definedName name="ee" localSheetId="40" hidden="1">{"FirstQ",#N/A,FALSE,"Budget2000";"SecondQ",#N/A,FALSE,"Budget2000";"Summary",#N/A,FALSE,"Budget2000"}</definedName>
    <definedName name="ee" localSheetId="41" hidden="1">{"FirstQ",#N/A,FALSE,"Budget2000";"SecondQ",#N/A,FALSE,"Budget2000";"Summary",#N/A,FALSE,"Budget2000"}</definedName>
    <definedName name="ee" localSheetId="42" hidden="1">{"FirstQ",#N/A,FALSE,"Budget2000";"SecondQ",#N/A,FALSE,"Budget2000";"Summary",#N/A,FALSE,"Budget2000"}</definedName>
    <definedName name="ee" localSheetId="17" hidden="1">{"FirstQ",#N/A,FALSE,"Budget2000";"SecondQ",#N/A,FALSE,"Budget2000";"Summary",#N/A,FALSE,"Budget2000"}</definedName>
    <definedName name="ee" localSheetId="14" hidden="1">{"FirstQ",#N/A,FALSE,"Budget2000";"SecondQ",#N/A,FALSE,"Budget2000";"Summary",#N/A,FALSE,"Budget2000"}</definedName>
    <definedName name="ee" localSheetId="3" hidden="1">{"FirstQ",#N/A,FALSE,"Budget2000";"SecondQ",#N/A,FALSE,"Budget2000";"Summary",#N/A,FALSE,"Budget2000"}</definedName>
    <definedName name="ee" localSheetId="35" hidden="1">{"FirstQ",#N/A,FALSE,"Budget2000";"SecondQ",#N/A,FALSE,"Budget2000";"Summary",#N/A,FALSE,"Budget2000"}</definedName>
    <definedName name="ee" localSheetId="16" hidden="1">{"FirstQ",#N/A,FALSE,"Budget2000";"SecondQ",#N/A,FALSE,"Budget2000";"Summary",#N/A,FALSE,"Budget2000"}</definedName>
    <definedName name="ee" localSheetId="2" hidden="1">{"FirstQ",#N/A,FALSE,"Budget2000";"SecondQ",#N/A,FALSE,"Budget2000";"Summary",#N/A,FALSE,"Budget2000"}</definedName>
    <definedName name="ee" localSheetId="15" hidden="1">{"FirstQ",#N/A,FALSE,"Budget2000";"SecondQ",#N/A,FALSE,"Budget2000";"Summary",#N/A,FALSE,"Budget2000"}</definedName>
    <definedName name="ee" hidden="1">{"FirstQ",#N/A,FALSE,"Budget2000";"SecondQ",#N/A,FALSE,"Budget2000";"Summary",#N/A,FALSE,"Budget2000"}</definedName>
    <definedName name="k" localSheetId="4" hidden="1">{"FirstQ",#N/A,FALSE,"Budget2000";"SecondQ",#N/A,FALSE,"Budget2000";"Summary",#N/A,FALSE,"Budget2000"}</definedName>
    <definedName name="k" localSheetId="40" hidden="1">{"FirstQ",#N/A,FALSE,"Budget2000";"SecondQ",#N/A,FALSE,"Budget2000";"Summary",#N/A,FALSE,"Budget2000"}</definedName>
    <definedName name="k" localSheetId="41" hidden="1">{"FirstQ",#N/A,FALSE,"Budget2000";"SecondQ",#N/A,FALSE,"Budget2000";"Summary",#N/A,FALSE,"Budget2000"}</definedName>
    <definedName name="k" localSheetId="42" hidden="1">{"FirstQ",#N/A,FALSE,"Budget2000";"SecondQ",#N/A,FALSE,"Budget2000";"Summary",#N/A,FALSE,"Budget2000"}</definedName>
    <definedName name="k" localSheetId="17" hidden="1">{"FirstQ",#N/A,FALSE,"Budget2000";"SecondQ",#N/A,FALSE,"Budget2000";"Summary",#N/A,FALSE,"Budget2000"}</definedName>
    <definedName name="k" localSheetId="14" hidden="1">{"FirstQ",#N/A,FALSE,"Budget2000";"SecondQ",#N/A,FALSE,"Budget2000";"Summary",#N/A,FALSE,"Budget2000"}</definedName>
    <definedName name="k" localSheetId="3" hidden="1">{"FirstQ",#N/A,FALSE,"Budget2000";"SecondQ",#N/A,FALSE,"Budget2000";"Summary",#N/A,FALSE,"Budget2000"}</definedName>
    <definedName name="k" localSheetId="35" hidden="1">{"FirstQ",#N/A,FALSE,"Budget2000";"SecondQ",#N/A,FALSE,"Budget2000";"Summary",#N/A,FALSE,"Budget2000"}</definedName>
    <definedName name="k" localSheetId="16" hidden="1">{"FirstQ",#N/A,FALSE,"Budget2000";"SecondQ",#N/A,FALSE,"Budget2000";"Summary",#N/A,FALSE,"Budget2000"}</definedName>
    <definedName name="k" localSheetId="2" hidden="1">{"FirstQ",#N/A,FALSE,"Budget2000";"SecondQ",#N/A,FALSE,"Budget2000";"Summary",#N/A,FALSE,"Budget2000"}</definedName>
    <definedName name="k" localSheetId="15" hidden="1">{"FirstQ",#N/A,FALSE,"Budget2000";"SecondQ",#N/A,FALSE,"Budget2000";"Summary",#N/A,FALSE,"Budget2000"}</definedName>
    <definedName name="k" hidden="1">{"FirstQ",#N/A,FALSE,"Budget2000";"SecondQ",#N/A,FALSE,"Budget2000";"Summary",#N/A,FALSE,"Budget2000"}</definedName>
    <definedName name="q" localSheetId="4" hidden="1">{"FirstQ",#N/A,FALSE,"Budget2000";"SecondQ",#N/A,FALSE,"Budget2000";"Summary",#N/A,FALSE,"Budget2000"}</definedName>
    <definedName name="q" localSheetId="40" hidden="1">{"FirstQ",#N/A,FALSE,"Budget2000";"SecondQ",#N/A,FALSE,"Budget2000";"Summary",#N/A,FALSE,"Budget2000"}</definedName>
    <definedName name="q" localSheetId="41" hidden="1">{"FirstQ",#N/A,FALSE,"Budget2000";"SecondQ",#N/A,FALSE,"Budget2000";"Summary",#N/A,FALSE,"Budget2000"}</definedName>
    <definedName name="q" localSheetId="42" hidden="1">{"FirstQ",#N/A,FALSE,"Budget2000";"SecondQ",#N/A,FALSE,"Budget2000";"Summary",#N/A,FALSE,"Budget2000"}</definedName>
    <definedName name="q" localSheetId="17" hidden="1">{"FirstQ",#N/A,FALSE,"Budget2000";"SecondQ",#N/A,FALSE,"Budget2000";"Summary",#N/A,FALSE,"Budget2000"}</definedName>
    <definedName name="q" localSheetId="14" hidden="1">{"FirstQ",#N/A,FALSE,"Budget2000";"SecondQ",#N/A,FALSE,"Budget2000";"Summary",#N/A,FALSE,"Budget2000"}</definedName>
    <definedName name="q" localSheetId="3" hidden="1">{"FirstQ",#N/A,FALSE,"Budget2000";"SecondQ",#N/A,FALSE,"Budget2000";"Summary",#N/A,FALSE,"Budget2000"}</definedName>
    <definedName name="q" localSheetId="35" hidden="1">{"FirstQ",#N/A,FALSE,"Budget2000";"SecondQ",#N/A,FALSE,"Budget2000";"Summary",#N/A,FALSE,"Budget2000"}</definedName>
    <definedName name="q" localSheetId="16" hidden="1">{"FirstQ",#N/A,FALSE,"Budget2000";"SecondQ",#N/A,FALSE,"Budget2000";"Summary",#N/A,FALSE,"Budget2000"}</definedName>
    <definedName name="q" localSheetId="2" hidden="1">{"FirstQ",#N/A,FALSE,"Budget2000";"SecondQ",#N/A,FALSE,"Budget2000";"Summary",#N/A,FALSE,"Budget2000"}</definedName>
    <definedName name="q" localSheetId="15" hidden="1">{"FirstQ",#N/A,FALSE,"Budget2000";"SecondQ",#N/A,FALSE,"Budget2000";"Summary",#N/A,FALSE,"Budget2000"}</definedName>
    <definedName name="q" hidden="1">{"FirstQ",#N/A,FALSE,"Budget2000";"SecondQ",#N/A,FALSE,"Budget2000";"Summary",#N/A,FALSE,"Budget2000"}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123</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rr" localSheetId="4" hidden="1">{"FirstQ",#N/A,FALSE,"Budget2000";"SecondQ",#N/A,FALSE,"Budget2000"}</definedName>
    <definedName name="rr" localSheetId="40" hidden="1">{"FirstQ",#N/A,FALSE,"Budget2000";"SecondQ",#N/A,FALSE,"Budget2000"}</definedName>
    <definedName name="rr" localSheetId="41" hidden="1">{"FirstQ",#N/A,FALSE,"Budget2000";"SecondQ",#N/A,FALSE,"Budget2000"}</definedName>
    <definedName name="rr" localSheetId="42" hidden="1">{"FirstQ",#N/A,FALSE,"Budget2000";"SecondQ",#N/A,FALSE,"Budget2000"}</definedName>
    <definedName name="rr" localSheetId="17" hidden="1">{"FirstQ",#N/A,FALSE,"Budget2000";"SecondQ",#N/A,FALSE,"Budget2000"}</definedName>
    <definedName name="rr" localSheetId="14" hidden="1">{"FirstQ",#N/A,FALSE,"Budget2000";"SecondQ",#N/A,FALSE,"Budget2000"}</definedName>
    <definedName name="rr" localSheetId="3" hidden="1">{"FirstQ",#N/A,FALSE,"Budget2000";"SecondQ",#N/A,FALSE,"Budget2000"}</definedName>
    <definedName name="rr" localSheetId="35" hidden="1">{"FirstQ",#N/A,FALSE,"Budget2000";"SecondQ",#N/A,FALSE,"Budget2000"}</definedName>
    <definedName name="rr" localSheetId="16" hidden="1">{"FirstQ",#N/A,FALSE,"Budget2000";"SecondQ",#N/A,FALSE,"Budget2000"}</definedName>
    <definedName name="rr" localSheetId="2" hidden="1">{"FirstQ",#N/A,FALSE,"Budget2000";"SecondQ",#N/A,FALSE,"Budget2000"}</definedName>
    <definedName name="rr" localSheetId="15" hidden="1">{"FirstQ",#N/A,FALSE,"Budget2000";"SecondQ",#N/A,FALSE,"Budget2000"}</definedName>
    <definedName name="rr" hidden="1">{"FirstQ",#N/A,FALSE,"Budget2000";"SecondQ",#N/A,FALSE,"Budget2000"}</definedName>
    <definedName name="rrr" localSheetId="4" hidden="1">{"AllDetail",#N/A,FALSE,"Research Budget";"1stQuarter",#N/A,FALSE,"Research Budget";"2nd Quarter",#N/A,FALSE,"Research Budget";"Summary",#N/A,FALSE,"Research Budget"}</definedName>
    <definedName name="rrr" localSheetId="40" hidden="1">{"AllDetail",#N/A,FALSE,"Research Budget";"1stQuarter",#N/A,FALSE,"Research Budget";"2nd Quarter",#N/A,FALSE,"Research Budget";"Summary",#N/A,FALSE,"Research Budget"}</definedName>
    <definedName name="rrr" localSheetId="41" hidden="1">{"AllDetail",#N/A,FALSE,"Research Budget";"1stQuarter",#N/A,FALSE,"Research Budget";"2nd Quarter",#N/A,FALSE,"Research Budget";"Summary",#N/A,FALSE,"Research Budget"}</definedName>
    <definedName name="rrr" localSheetId="42" hidden="1">{"AllDetail",#N/A,FALSE,"Research Budget";"1stQuarter",#N/A,FALSE,"Research Budget";"2nd Quarter",#N/A,FALSE,"Research Budget";"Summary",#N/A,FALSE,"Research Budget"}</definedName>
    <definedName name="rrr" localSheetId="17" hidden="1">{"AllDetail",#N/A,FALSE,"Research Budget";"1stQuarter",#N/A,FALSE,"Research Budget";"2nd Quarter",#N/A,FALSE,"Research Budget";"Summary",#N/A,FALSE,"Research Budget"}</definedName>
    <definedName name="rrr" localSheetId="14" hidden="1">{"AllDetail",#N/A,FALSE,"Research Budget";"1stQuarter",#N/A,FALSE,"Research Budget";"2nd Quarter",#N/A,FALSE,"Research Budget";"Summary",#N/A,FALSE,"Research Budget"}</definedName>
    <definedName name="rrr" localSheetId="3" hidden="1">{"AllDetail",#N/A,FALSE,"Research Budget";"1stQuarter",#N/A,FALSE,"Research Budget";"2nd Quarter",#N/A,FALSE,"Research Budget";"Summary",#N/A,FALSE,"Research Budget"}</definedName>
    <definedName name="rrr" localSheetId="35" hidden="1">{"AllDetail",#N/A,FALSE,"Research Budget";"1stQuarter",#N/A,FALSE,"Research Budget";"2nd Quarter",#N/A,FALSE,"Research Budget";"Summary",#N/A,FALSE,"Research Budget"}</definedName>
    <definedName name="rrr" localSheetId="16" hidden="1">{"AllDetail",#N/A,FALSE,"Research Budget";"1stQuarter",#N/A,FALSE,"Research Budget";"2nd Quarter",#N/A,FALSE,"Research Budget";"Summary",#N/A,FALSE,"Research Budget"}</definedName>
    <definedName name="rrr" localSheetId="2" hidden="1">{"AllDetail",#N/A,FALSE,"Research Budget";"1stQuarter",#N/A,FALSE,"Research Budget";"2nd Quarter",#N/A,FALSE,"Research Budget";"Summary",#N/A,FALSE,"Research Budget"}</definedName>
    <definedName name="rrr" localSheetId="15" hidden="1">{"AllDetail",#N/A,FALSE,"Research Budget";"1stQuarter",#N/A,FALSE,"Research Budget";"2nd Quarter",#N/A,FALSE,"Research Budget";"Summary",#N/A,FALSE,"Research Budget"}</definedName>
    <definedName name="rrr" hidden="1">{"AllDetail",#N/A,FALSE,"Research Budget";"1stQuarter",#N/A,FALSE,"Research Budget";"2nd Quarter",#N/A,FALSE,"Research Budget";"Summary",#N/A,FALSE,"Research Budget"}</definedName>
    <definedName name="Slicer_Account_Manager">#N/A</definedName>
    <definedName name="Slicer_Cargo_Type">#N/A</definedName>
    <definedName name="Slicer_Country">#N/A</definedName>
    <definedName name="Slicer_Financial_Year">#N/A</definedName>
    <definedName name="Slicer_Port_Name">#N/A</definedName>
    <definedName name="solver_adj" localSheetId="15" hidden="1">Solver!$C$14,Solver!$C$17</definedName>
    <definedName name="solver_cvg" localSheetId="15" hidden="1">0.0001</definedName>
    <definedName name="solver_drv" localSheetId="15" hidden="1">1</definedName>
    <definedName name="solver_eng" localSheetId="35" hidden="1">1</definedName>
    <definedName name="solver_eng" localSheetId="15" hidden="1">1</definedName>
    <definedName name="solver_est" localSheetId="15" hidden="1">1</definedName>
    <definedName name="solver_itr" localSheetId="15" hidden="1">2147483647</definedName>
    <definedName name="solver_mip" localSheetId="15" hidden="1">2147483647</definedName>
    <definedName name="solver_mni" localSheetId="15" hidden="1">30</definedName>
    <definedName name="solver_mrt" localSheetId="15" hidden="1">0.075</definedName>
    <definedName name="solver_msl" localSheetId="15" hidden="1">2</definedName>
    <definedName name="solver_neg" localSheetId="35" hidden="1">1</definedName>
    <definedName name="solver_neg" localSheetId="15" hidden="1">1</definedName>
    <definedName name="solver_nod" localSheetId="15" hidden="1">2147483647</definedName>
    <definedName name="solver_num" localSheetId="35" hidden="1">0</definedName>
    <definedName name="solver_num" localSheetId="15" hidden="1">0</definedName>
    <definedName name="solver_nwt" localSheetId="15" hidden="1">1</definedName>
    <definedName name="solver_opt" localSheetId="35" hidden="1">'Notes -Goal Seek, Solver'!#REF!</definedName>
    <definedName name="solver_opt" localSheetId="15" hidden="1">Solver!$C$28</definedName>
    <definedName name="solver_pre" localSheetId="15" hidden="1">0.000001</definedName>
    <definedName name="solver_rbv" localSheetId="15" hidden="1">1</definedName>
    <definedName name="solver_rlx" localSheetId="15" hidden="1">2</definedName>
    <definedName name="solver_rsd" localSheetId="15" hidden="1">0</definedName>
    <definedName name="solver_scl" localSheetId="15" hidden="1">1</definedName>
    <definedName name="solver_sho" localSheetId="15" hidden="1">2</definedName>
    <definedName name="solver_ssz" localSheetId="15" hidden="1">100</definedName>
    <definedName name="solver_tim" localSheetId="15" hidden="1">2147483647</definedName>
    <definedName name="solver_tol" localSheetId="15" hidden="1">0.01</definedName>
    <definedName name="solver_typ" localSheetId="35" hidden="1">1</definedName>
    <definedName name="solver_typ" localSheetId="15" hidden="1">3</definedName>
    <definedName name="solver_val" localSheetId="35" hidden="1">0</definedName>
    <definedName name="solver_val" localSheetId="15" hidden="1">100000</definedName>
    <definedName name="solver_ver" localSheetId="35" hidden="1">3</definedName>
    <definedName name="solver_ver" localSheetId="15" hidden="1">3</definedName>
    <definedName name="wrn.AllData." localSheetId="4" hidden="1">{"FirstQ",#N/A,FALSE,"Budget2000";"SecondQ",#N/A,FALSE,"Budget2000";"Summary",#N/A,FALSE,"Budget2000"}</definedName>
    <definedName name="wrn.AllData." localSheetId="40" hidden="1">{"FirstQ",#N/A,FALSE,"Budget2000";"SecondQ",#N/A,FALSE,"Budget2000";"Summary",#N/A,FALSE,"Budget2000"}</definedName>
    <definedName name="wrn.AllData." localSheetId="41" hidden="1">{"FirstQ",#N/A,FALSE,"Budget2000";"SecondQ",#N/A,FALSE,"Budget2000";"Summary",#N/A,FALSE,"Budget2000"}</definedName>
    <definedName name="wrn.AllData." localSheetId="42" hidden="1">{"FirstQ",#N/A,FALSE,"Budget2000";"SecondQ",#N/A,FALSE,"Budget2000";"Summary",#N/A,FALSE,"Budget2000"}</definedName>
    <definedName name="wrn.AllData." localSheetId="17" hidden="1">{"FirstQ",#N/A,FALSE,"Budget2000";"SecondQ",#N/A,FALSE,"Budget2000";"Summary",#N/A,FALSE,"Budget2000"}</definedName>
    <definedName name="wrn.AllData." localSheetId="14" hidden="1">{"FirstQ",#N/A,FALSE,"Budget2000";"SecondQ",#N/A,FALSE,"Budget2000";"Summary",#N/A,FALSE,"Budget2000"}</definedName>
    <definedName name="wrn.AllData." localSheetId="3" hidden="1">{"FirstQ",#N/A,FALSE,"Budget2000";"SecondQ",#N/A,FALSE,"Budget2000";"Summary",#N/A,FALSE,"Budget2000"}</definedName>
    <definedName name="wrn.AllData." localSheetId="35" hidden="1">{"FirstQ",#N/A,FALSE,"Budget2000";"SecondQ",#N/A,FALSE,"Budget2000";"Summary",#N/A,FALSE,"Budget2000"}</definedName>
    <definedName name="wrn.AllData." localSheetId="16" hidden="1">{"FirstQ",#N/A,FALSE,"Budget2000";"SecondQ",#N/A,FALSE,"Budget2000";"Summary",#N/A,FALSE,"Budget2000"}</definedName>
    <definedName name="wrn.AllData." localSheetId="2" hidden="1">{"FirstQ",#N/A,FALSE,"Budget2000";"SecondQ",#N/A,FALSE,"Budget2000";"Summary",#N/A,FALSE,"Budget2000"}</definedName>
    <definedName name="wrn.AllData." localSheetId="15" hidden="1">{"FirstQ",#N/A,FALSE,"Budget2000";"SecondQ",#N/A,FALSE,"Budget2000";"Summary",#N/A,FALSE,"Budget2000"}</definedName>
    <definedName name="wrn.AllData." hidden="1">{"FirstQ",#N/A,FALSE,"Budget2000";"SecondQ",#N/A,FALSE,"Budget2000";"Summary",#N/A,FALSE,"Budget2000"}</definedName>
    <definedName name="wrn.FirstHalf." localSheetId="4" hidden="1">{"FirstQ",#N/A,FALSE,"Budget2000";"SecondQ",#N/A,FALSE,"Budget2000"}</definedName>
    <definedName name="wrn.FirstHalf." localSheetId="40" hidden="1">{"FirstQ",#N/A,FALSE,"Budget2000";"SecondQ",#N/A,FALSE,"Budget2000"}</definedName>
    <definedName name="wrn.FirstHalf." localSheetId="41" hidden="1">{"FirstQ",#N/A,FALSE,"Budget2000";"SecondQ",#N/A,FALSE,"Budget2000"}</definedName>
    <definedName name="wrn.FirstHalf." localSheetId="42" hidden="1">{"FirstQ",#N/A,FALSE,"Budget2000";"SecondQ",#N/A,FALSE,"Budget2000"}</definedName>
    <definedName name="wrn.FirstHalf." localSheetId="17" hidden="1">{"FirstQ",#N/A,FALSE,"Budget2000";"SecondQ",#N/A,FALSE,"Budget2000"}</definedName>
    <definedName name="wrn.FirstHalf." localSheetId="14" hidden="1">{"FirstQ",#N/A,FALSE,"Budget2000";"SecondQ",#N/A,FALSE,"Budget2000"}</definedName>
    <definedName name="wrn.FirstHalf." localSheetId="3" hidden="1">{"FirstQ",#N/A,FALSE,"Budget2000";"SecondQ",#N/A,FALSE,"Budget2000"}</definedName>
    <definedName name="wrn.FirstHalf." localSheetId="35" hidden="1">{"FirstQ",#N/A,FALSE,"Budget2000";"SecondQ",#N/A,FALSE,"Budget2000"}</definedName>
    <definedName name="wrn.FirstHalf." localSheetId="16" hidden="1">{"FirstQ",#N/A,FALSE,"Budget2000";"SecondQ",#N/A,FALSE,"Budget2000"}</definedName>
    <definedName name="wrn.FirstHalf." localSheetId="2" hidden="1">{"FirstQ",#N/A,FALSE,"Budget2000";"SecondQ",#N/A,FALSE,"Budget2000"}</definedName>
    <definedName name="wrn.FirstHalf." localSheetId="15" hidden="1">{"FirstQ",#N/A,FALSE,"Budget2000";"SecondQ",#N/A,FALSE,"Budget2000"}</definedName>
    <definedName name="wrn.FirstHalf." hidden="1">{"FirstQ",#N/A,FALSE,"Budget2000";"SecondQ",#N/A,FALSE,"Budget2000"}</definedName>
    <definedName name="x" localSheetId="4" hidden="1">{"FirstQ",#N/A,FALSE,"Budget2000";"SecondQ",#N/A,FALSE,"Budget2000";"Summary",#N/A,FALSE,"Budget2000"}</definedName>
    <definedName name="x" localSheetId="40" hidden="1">{"FirstQ",#N/A,FALSE,"Budget2000";"SecondQ",#N/A,FALSE,"Budget2000";"Summary",#N/A,FALSE,"Budget2000"}</definedName>
    <definedName name="x" localSheetId="41" hidden="1">{"FirstQ",#N/A,FALSE,"Budget2000";"SecondQ",#N/A,FALSE,"Budget2000";"Summary",#N/A,FALSE,"Budget2000"}</definedName>
    <definedName name="x" localSheetId="42" hidden="1">{"FirstQ",#N/A,FALSE,"Budget2000";"SecondQ",#N/A,FALSE,"Budget2000";"Summary",#N/A,FALSE,"Budget2000"}</definedName>
    <definedName name="x" localSheetId="17" hidden="1">{"FirstQ",#N/A,FALSE,"Budget2000";"SecondQ",#N/A,FALSE,"Budget2000";"Summary",#N/A,FALSE,"Budget2000"}</definedName>
    <definedName name="x" localSheetId="14" hidden="1">{"FirstQ",#N/A,FALSE,"Budget2000";"SecondQ",#N/A,FALSE,"Budget2000";"Summary",#N/A,FALSE,"Budget2000"}</definedName>
    <definedName name="x" localSheetId="3" hidden="1">{"FirstQ",#N/A,FALSE,"Budget2000";"SecondQ",#N/A,FALSE,"Budget2000";"Summary",#N/A,FALSE,"Budget2000"}</definedName>
    <definedName name="x" localSheetId="35" hidden="1">{"FirstQ",#N/A,FALSE,"Budget2000";"SecondQ",#N/A,FALSE,"Budget2000";"Summary",#N/A,FALSE,"Budget2000"}</definedName>
    <definedName name="x" localSheetId="16" hidden="1">{"FirstQ",#N/A,FALSE,"Budget2000";"SecondQ",#N/A,FALSE,"Budget2000";"Summary",#N/A,FALSE,"Budget2000"}</definedName>
    <definedName name="x" localSheetId="2" hidden="1">{"FirstQ",#N/A,FALSE,"Budget2000";"SecondQ",#N/A,FALSE,"Budget2000";"Summary",#N/A,FALSE,"Budget2000"}</definedName>
    <definedName name="x" localSheetId="15" hidden="1">{"FirstQ",#N/A,FALSE,"Budget2000";"SecondQ",#N/A,FALSE,"Budget2000";"Summary",#N/A,FALSE,"Budget2000"}</definedName>
    <definedName name="x" hidden="1">{"FirstQ",#N/A,FALSE,"Budget2000";"SecondQ",#N/A,FALSE,"Budget2000";"Summary",#N/A,FALSE,"Budget2000"}</definedName>
    <definedName name="xxxxxxxxxxxxxxxxxxx" localSheetId="4" hidden="1">{"AllDetail",#N/A,FALSE,"Research Budget";"1stQuarter",#N/A,FALSE,"Research Budget";"2nd Quarter",#N/A,FALSE,"Research Budget";"Summary",#N/A,FALSE,"Research Budget"}</definedName>
    <definedName name="xxxxxxxxxxxxxxxxxxx" localSheetId="40" hidden="1">{"AllDetail",#N/A,FALSE,"Research Budget";"1stQuarter",#N/A,FALSE,"Research Budget";"2nd Quarter",#N/A,FALSE,"Research Budget";"Summary",#N/A,FALSE,"Research Budget"}</definedName>
    <definedName name="xxxxxxxxxxxxxxxxxxx" localSheetId="41" hidden="1">{"AllDetail",#N/A,FALSE,"Research Budget";"1stQuarter",#N/A,FALSE,"Research Budget";"2nd Quarter",#N/A,FALSE,"Research Budget";"Summary",#N/A,FALSE,"Research Budget"}</definedName>
    <definedName name="xxxxxxxxxxxxxxxxxxx" localSheetId="42" hidden="1">{"AllDetail",#N/A,FALSE,"Research Budget";"1stQuarter",#N/A,FALSE,"Research Budget";"2nd Quarter",#N/A,FALSE,"Research Budget";"Summary",#N/A,FALSE,"Research Budget"}</definedName>
    <definedName name="xxxxxxxxxxxxxxxxxxx" localSheetId="17" hidden="1">{"AllDetail",#N/A,FALSE,"Research Budget";"1stQuarter",#N/A,FALSE,"Research Budget";"2nd Quarter",#N/A,FALSE,"Research Budget";"Summary",#N/A,FALSE,"Research Budget"}</definedName>
    <definedName name="xxxxxxxxxxxxxxxxxxx" localSheetId="14" hidden="1">{"AllDetail",#N/A,FALSE,"Research Budget";"1stQuarter",#N/A,FALSE,"Research Budget";"2nd Quarter",#N/A,FALSE,"Research Budget";"Summary",#N/A,FALSE,"Research Budget"}</definedName>
    <definedName name="xxxxxxxxxxxxxxxxxxx" localSheetId="3" hidden="1">{"AllDetail",#N/A,FALSE,"Research Budget";"1stQuarter",#N/A,FALSE,"Research Budget";"2nd Quarter",#N/A,FALSE,"Research Budget";"Summary",#N/A,FALSE,"Research Budget"}</definedName>
    <definedName name="xxxxxxxxxxxxxxxxxxx" localSheetId="35" hidden="1">{"AllDetail",#N/A,FALSE,"Research Budget";"1stQuarter",#N/A,FALSE,"Research Budget";"2nd Quarter",#N/A,FALSE,"Research Budget";"Summary",#N/A,FALSE,"Research Budget"}</definedName>
    <definedName name="xxxxxxxxxxxxxxxxxxx" localSheetId="16" hidden="1">{"AllDetail",#N/A,FALSE,"Research Budget";"1stQuarter",#N/A,FALSE,"Research Budget";"2nd Quarter",#N/A,FALSE,"Research Budget";"Summary",#N/A,FALSE,"Research Budget"}</definedName>
    <definedName name="xxxxxxxxxxxxxxxxxxx" localSheetId="2" hidden="1">{"AllDetail",#N/A,FALSE,"Research Budget";"1stQuarter",#N/A,FALSE,"Research Budget";"2nd Quarter",#N/A,FALSE,"Research Budget";"Summary",#N/A,FALSE,"Research Budget"}</definedName>
    <definedName name="xxxxxxxxxxxxxxxxxxx" localSheetId="15" hidden="1">{"AllDetail",#N/A,FALSE,"Research Budget";"1stQuarter",#N/A,FALSE,"Research Budget";"2nd Quarter",#N/A,FALSE,"Research Budget";"Summary",#N/A,FALSE,"Research Budget"}</definedName>
    <definedName name="xxxxxxxxxxxxxxxxxxx" hidden="1">{"AllDetail",#N/A,FALSE,"Research Budget";"1stQuarter",#N/A,FALSE,"Research Budget";"2nd Quarter",#N/A,FALSE,"Research Budget";"Summary",#N/A,FALSE,"Research Budget"}</definedName>
  </definedNames>
  <calcPr calcId="191029"/>
  <pivotCaches>
    <pivotCache cacheId="0" r:id="rId46"/>
  </pivotCaches>
  <extLst>
    <ext xmlns:x14="http://schemas.microsoft.com/office/spreadsheetml/2009/9/main" uri="{BBE1A952-AA13-448e-AADC-164F8A28A991}">
      <x14:slicerCaches>
        <x14:slicerCache r:id="rId47"/>
        <x14:slicerCache r:id="rId48"/>
        <x14:slicerCache r:id="rId49"/>
        <x14:slicerCache r:id="rId50"/>
        <x14:slicerCache r:id="rId5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1" i="39" l="1"/>
  <c r="Q22" i="39"/>
  <c r="Q23" i="39"/>
  <c r="Q24" i="39"/>
  <c r="Q25" i="39"/>
  <c r="Q26" i="39"/>
  <c r="Q27" i="39"/>
  <c r="Q28" i="39"/>
  <c r="Q29" i="39"/>
  <c r="Q30" i="39"/>
  <c r="Q31" i="39"/>
  <c r="Q32" i="39"/>
  <c r="Q33" i="39"/>
  <c r="Q34" i="39"/>
  <c r="Q35" i="39"/>
  <c r="Q36" i="39"/>
  <c r="Q37" i="39"/>
  <c r="Q38" i="39"/>
  <c r="Q39" i="39"/>
  <c r="Q40" i="39"/>
  <c r="Q41" i="39"/>
  <c r="Q42" i="39"/>
  <c r="Q43" i="39"/>
  <c r="Q44" i="39"/>
  <c r="Q45" i="39"/>
  <c r="Q46" i="39"/>
  <c r="Q47" i="39"/>
  <c r="Q48" i="39"/>
  <c r="Q49" i="39"/>
  <c r="Q50" i="39"/>
  <c r="Q51" i="39"/>
  <c r="Q52" i="39"/>
  <c r="Q53" i="39"/>
  <c r="Q54" i="39"/>
  <c r="Q20" i="39"/>
  <c r="N20" i="39"/>
  <c r="P21" i="39"/>
  <c r="P22" i="39"/>
  <c r="P23" i="39"/>
  <c r="P24" i="39"/>
  <c r="P25" i="39"/>
  <c r="P26" i="39"/>
  <c r="P27" i="39"/>
  <c r="P28" i="39"/>
  <c r="P29" i="39"/>
  <c r="P30" i="39"/>
  <c r="P31" i="39"/>
  <c r="P32" i="39"/>
  <c r="P33" i="39"/>
  <c r="P34" i="39"/>
  <c r="P35" i="39"/>
  <c r="P36" i="39"/>
  <c r="P37" i="39"/>
  <c r="P38" i="39"/>
  <c r="P39" i="39"/>
  <c r="P40" i="39"/>
  <c r="P41" i="39"/>
  <c r="P42" i="39"/>
  <c r="P43" i="39"/>
  <c r="P44" i="39"/>
  <c r="P45" i="39"/>
  <c r="P46" i="39"/>
  <c r="P47" i="39"/>
  <c r="P48" i="39"/>
  <c r="P49" i="39"/>
  <c r="P50" i="39"/>
  <c r="P51" i="39"/>
  <c r="P52" i="39"/>
  <c r="P53" i="39"/>
  <c r="P54" i="39"/>
  <c r="O21" i="39"/>
  <c r="O22" i="39"/>
  <c r="O23" i="39"/>
  <c r="O24" i="39"/>
  <c r="O25" i="39"/>
  <c r="O26" i="39"/>
  <c r="O27" i="39"/>
  <c r="O28" i="39"/>
  <c r="O29" i="39"/>
  <c r="O30" i="39"/>
  <c r="O31" i="39"/>
  <c r="O32" i="39"/>
  <c r="O33" i="39"/>
  <c r="O34" i="39"/>
  <c r="O35" i="39"/>
  <c r="O36" i="39"/>
  <c r="O37" i="39"/>
  <c r="O38" i="39"/>
  <c r="O39" i="39"/>
  <c r="O40" i="39"/>
  <c r="O41" i="39"/>
  <c r="O42" i="39"/>
  <c r="O43" i="39"/>
  <c r="O44" i="39"/>
  <c r="O45" i="39"/>
  <c r="O46" i="39"/>
  <c r="O47" i="39"/>
  <c r="O48" i="39"/>
  <c r="O49" i="39"/>
  <c r="O50" i="39"/>
  <c r="O51" i="39"/>
  <c r="O52" i="39"/>
  <c r="O53" i="39"/>
  <c r="O54" i="39"/>
  <c r="P20" i="39"/>
  <c r="O20" i="39"/>
  <c r="L21" i="39"/>
  <c r="L22" i="39"/>
  <c r="L23" i="39"/>
  <c r="L24" i="39"/>
  <c r="L25" i="39"/>
  <c r="L26" i="39"/>
  <c r="L27" i="39"/>
  <c r="L28" i="39"/>
  <c r="L29" i="39"/>
  <c r="L30" i="39"/>
  <c r="L31" i="39"/>
  <c r="L32" i="39"/>
  <c r="L33" i="39"/>
  <c r="L34" i="39"/>
  <c r="L35" i="39"/>
  <c r="L36" i="39"/>
  <c r="L37" i="39"/>
  <c r="L38" i="39"/>
  <c r="L39" i="39"/>
  <c r="L40" i="39"/>
  <c r="L41" i="39"/>
  <c r="L42" i="39"/>
  <c r="L43" i="39"/>
  <c r="L44" i="39"/>
  <c r="L45" i="39"/>
  <c r="L46" i="39"/>
  <c r="L47" i="39"/>
  <c r="L48" i="39"/>
  <c r="L49" i="39"/>
  <c r="L50" i="39"/>
  <c r="L51" i="39"/>
  <c r="L52" i="39"/>
  <c r="L53" i="39"/>
  <c r="L54" i="39"/>
  <c r="K21" i="39"/>
  <c r="K22" i="39"/>
  <c r="K23" i="39"/>
  <c r="K24" i="39"/>
  <c r="K25" i="39"/>
  <c r="K26" i="39"/>
  <c r="K27" i="39"/>
  <c r="K28" i="39"/>
  <c r="K29" i="39"/>
  <c r="K30" i="39"/>
  <c r="K31" i="39"/>
  <c r="K32" i="39"/>
  <c r="K33" i="39"/>
  <c r="K34" i="39"/>
  <c r="K35" i="39"/>
  <c r="K36" i="39"/>
  <c r="K37" i="39"/>
  <c r="K38" i="39"/>
  <c r="K39" i="39"/>
  <c r="K40" i="39"/>
  <c r="K41" i="39"/>
  <c r="K42" i="39"/>
  <c r="K43" i="39"/>
  <c r="K44" i="39"/>
  <c r="K45" i="39"/>
  <c r="K46" i="39"/>
  <c r="K47" i="39"/>
  <c r="K48" i="39"/>
  <c r="K49" i="39"/>
  <c r="K50" i="39"/>
  <c r="K51" i="39"/>
  <c r="K52" i="39"/>
  <c r="K53" i="39"/>
  <c r="K54" i="39"/>
  <c r="J21" i="39"/>
  <c r="J22" i="39"/>
  <c r="J23" i="39"/>
  <c r="J24" i="39"/>
  <c r="J25" i="39"/>
  <c r="N25" i="39" s="1"/>
  <c r="J26" i="39"/>
  <c r="N26" i="39" s="1"/>
  <c r="J27" i="39"/>
  <c r="M27" i="39" s="1"/>
  <c r="J28" i="39"/>
  <c r="M28" i="39" s="1"/>
  <c r="J29" i="39"/>
  <c r="J30" i="39"/>
  <c r="J31" i="39"/>
  <c r="J32" i="39"/>
  <c r="J33" i="39"/>
  <c r="N33" i="39" s="1"/>
  <c r="J34" i="39"/>
  <c r="N34" i="39" s="1"/>
  <c r="J35" i="39"/>
  <c r="M35" i="39" s="1"/>
  <c r="J36" i="39"/>
  <c r="N36" i="39" s="1"/>
  <c r="J37" i="39"/>
  <c r="J38" i="39"/>
  <c r="J39" i="39"/>
  <c r="J40" i="39"/>
  <c r="J41" i="39"/>
  <c r="N41" i="39" s="1"/>
  <c r="J42" i="39"/>
  <c r="N42" i="39" s="1"/>
  <c r="J43" i="39"/>
  <c r="M43" i="39" s="1"/>
  <c r="J44" i="39"/>
  <c r="M44" i="39" s="1"/>
  <c r="J45" i="39"/>
  <c r="J46" i="39"/>
  <c r="J47" i="39"/>
  <c r="J48" i="39"/>
  <c r="J49" i="39"/>
  <c r="N49" i="39" s="1"/>
  <c r="J50" i="39"/>
  <c r="N50" i="39" s="1"/>
  <c r="J51" i="39"/>
  <c r="M51" i="39" s="1"/>
  <c r="J52" i="39"/>
  <c r="M52" i="39" s="1"/>
  <c r="J53" i="39"/>
  <c r="J54" i="39"/>
  <c r="I21" i="39"/>
  <c r="I22" i="39"/>
  <c r="I23" i="39"/>
  <c r="I24" i="39"/>
  <c r="I25" i="39"/>
  <c r="I26" i="39"/>
  <c r="I27" i="39"/>
  <c r="I28" i="39"/>
  <c r="I29" i="39"/>
  <c r="I30" i="39"/>
  <c r="I31" i="39"/>
  <c r="I32" i="39"/>
  <c r="I33" i="39"/>
  <c r="I34" i="39"/>
  <c r="I35" i="39"/>
  <c r="I36" i="39"/>
  <c r="I37" i="39"/>
  <c r="I38" i="39"/>
  <c r="I39" i="39"/>
  <c r="I40" i="39"/>
  <c r="I41" i="39"/>
  <c r="I42" i="39"/>
  <c r="I43" i="39"/>
  <c r="I44" i="39"/>
  <c r="I45" i="39"/>
  <c r="I46" i="39"/>
  <c r="I47" i="39"/>
  <c r="I48" i="39"/>
  <c r="I49" i="39"/>
  <c r="I50" i="39"/>
  <c r="I51" i="39"/>
  <c r="I52" i="39"/>
  <c r="I53" i="39"/>
  <c r="I54"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E21" i="39"/>
  <c r="E22" i="39"/>
  <c r="E23" i="39"/>
  <c r="E24" i="39"/>
  <c r="E25" i="39"/>
  <c r="E26" i="39"/>
  <c r="E27" i="39"/>
  <c r="E28" i="39"/>
  <c r="E29" i="39"/>
  <c r="E30" i="39"/>
  <c r="E31" i="39"/>
  <c r="E32" i="39"/>
  <c r="E33" i="39"/>
  <c r="E34" i="39"/>
  <c r="E35" i="39"/>
  <c r="E36" i="39"/>
  <c r="E37" i="39"/>
  <c r="E38" i="39"/>
  <c r="E39" i="39"/>
  <c r="E40" i="39"/>
  <c r="E41" i="39"/>
  <c r="E42" i="39"/>
  <c r="E43" i="39"/>
  <c r="E44" i="39"/>
  <c r="E45" i="39"/>
  <c r="E46" i="39"/>
  <c r="E47" i="39"/>
  <c r="E48" i="39"/>
  <c r="E49" i="39"/>
  <c r="E50" i="39"/>
  <c r="E51" i="39"/>
  <c r="E52" i="39"/>
  <c r="E53" i="39"/>
  <c r="E54" i="39"/>
  <c r="M21" i="39"/>
  <c r="M22" i="39"/>
  <c r="M23" i="39"/>
  <c r="M24" i="39"/>
  <c r="M25" i="39"/>
  <c r="M26" i="39"/>
  <c r="M29" i="39"/>
  <c r="M30" i="39"/>
  <c r="M31" i="39"/>
  <c r="M32" i="39"/>
  <c r="M33" i="39"/>
  <c r="M34" i="39"/>
  <c r="M37" i="39"/>
  <c r="M38" i="39"/>
  <c r="M39" i="39"/>
  <c r="M40" i="39"/>
  <c r="M41" i="39"/>
  <c r="M42" i="39"/>
  <c r="M45" i="39"/>
  <c r="M46" i="39"/>
  <c r="M47" i="39"/>
  <c r="M48" i="39"/>
  <c r="M49" i="39"/>
  <c r="M50" i="39"/>
  <c r="M53" i="39"/>
  <c r="M54" i="39"/>
  <c r="N21" i="39"/>
  <c r="N22" i="39"/>
  <c r="N23" i="39"/>
  <c r="N24" i="39"/>
  <c r="N29" i="39"/>
  <c r="N30" i="39"/>
  <c r="N31" i="39"/>
  <c r="N32" i="39"/>
  <c r="N37" i="39"/>
  <c r="N38" i="39"/>
  <c r="N39" i="39"/>
  <c r="N40" i="39"/>
  <c r="N45" i="39"/>
  <c r="N46" i="39"/>
  <c r="N47" i="39"/>
  <c r="N48" i="39"/>
  <c r="N53" i="39"/>
  <c r="N54" i="39"/>
  <c r="M20" i="39"/>
  <c r="L20" i="39"/>
  <c r="K20" i="39"/>
  <c r="J20" i="39"/>
  <c r="I20" i="39"/>
  <c r="H20" i="39"/>
  <c r="G20" i="39"/>
  <c r="E20" i="39"/>
  <c r="C25" i="36"/>
  <c r="C26" i="36"/>
  <c r="C18" i="36"/>
  <c r="C21" i="36" s="1"/>
  <c r="C22" i="36" s="1"/>
  <c r="C23" i="36" s="1"/>
  <c r="M12" i="52"/>
  <c r="M13" i="52"/>
  <c r="M14" i="52"/>
  <c r="M15" i="52"/>
  <c r="M16" i="52"/>
  <c r="M17" i="52"/>
  <c r="M18" i="52"/>
  <c r="M19" i="52"/>
  <c r="M20" i="52"/>
  <c r="M21" i="52"/>
  <c r="M22" i="52"/>
  <c r="M23" i="52"/>
  <c r="M24" i="52"/>
  <c r="M25" i="52"/>
  <c r="M26" i="52"/>
  <c r="M27" i="52"/>
  <c r="M28" i="52"/>
  <c r="M29" i="52"/>
  <c r="M30" i="52"/>
  <c r="M31" i="52"/>
  <c r="M32" i="52"/>
  <c r="M33" i="52"/>
  <c r="M34" i="52"/>
  <c r="M35" i="52"/>
  <c r="M36" i="52"/>
  <c r="M37" i="52"/>
  <c r="M38" i="52"/>
  <c r="M39" i="52"/>
  <c r="M40" i="52"/>
  <c r="M41" i="52"/>
  <c r="M42" i="52"/>
  <c r="M43" i="52"/>
  <c r="M44" i="52"/>
  <c r="M45" i="52"/>
  <c r="M46" i="52"/>
  <c r="S31" i="52"/>
  <c r="L12" i="52"/>
  <c r="L13" i="52"/>
  <c r="L14" i="52"/>
  <c r="L15" i="52"/>
  <c r="L16" i="52"/>
  <c r="L17" i="52"/>
  <c r="L18" i="52"/>
  <c r="L19" i="52"/>
  <c r="L20" i="52"/>
  <c r="L21" i="52"/>
  <c r="L22" i="52"/>
  <c r="L23" i="52"/>
  <c r="L24" i="52"/>
  <c r="L25" i="52"/>
  <c r="L26" i="52"/>
  <c r="L27" i="52"/>
  <c r="L28" i="52"/>
  <c r="L29" i="52"/>
  <c r="L30" i="52"/>
  <c r="L31" i="52"/>
  <c r="L32" i="52"/>
  <c r="L33" i="52"/>
  <c r="L34" i="52"/>
  <c r="L35" i="52"/>
  <c r="L36" i="52"/>
  <c r="L37" i="52"/>
  <c r="L38" i="52"/>
  <c r="L39" i="52"/>
  <c r="L40" i="52"/>
  <c r="L41" i="52"/>
  <c r="L42" i="52"/>
  <c r="L43" i="52"/>
  <c r="L44" i="52"/>
  <c r="L45" i="52"/>
  <c r="L46" i="52"/>
  <c r="K12" i="52"/>
  <c r="K13" i="52"/>
  <c r="K14" i="52"/>
  <c r="K15" i="52"/>
  <c r="K16" i="52"/>
  <c r="K17" i="52"/>
  <c r="K18" i="52"/>
  <c r="K19" i="52"/>
  <c r="K20" i="52"/>
  <c r="K21" i="52"/>
  <c r="K22" i="52"/>
  <c r="K23" i="52"/>
  <c r="K24" i="52"/>
  <c r="K25" i="52"/>
  <c r="K26" i="52"/>
  <c r="K27" i="52"/>
  <c r="K28" i="52"/>
  <c r="K29" i="52"/>
  <c r="K30" i="52"/>
  <c r="K31" i="52"/>
  <c r="K32" i="52"/>
  <c r="K33" i="52"/>
  <c r="K34" i="52"/>
  <c r="K35" i="52"/>
  <c r="K36" i="52"/>
  <c r="K37" i="52"/>
  <c r="K38" i="52"/>
  <c r="K39" i="52"/>
  <c r="K40" i="52"/>
  <c r="K41" i="52"/>
  <c r="K42" i="52"/>
  <c r="K43" i="52"/>
  <c r="K44" i="52"/>
  <c r="K45" i="52"/>
  <c r="K46" i="52"/>
  <c r="T19" i="52"/>
  <c r="E86" i="77"/>
  <c r="G86" i="77" s="1"/>
  <c r="J71" i="77"/>
  <c r="J70" i="77"/>
  <c r="E87" i="77"/>
  <c r="G87" i="77" s="1"/>
  <c r="E88" i="77"/>
  <c r="G88" i="77" s="1"/>
  <c r="H71" i="77"/>
  <c r="H72" i="77"/>
  <c r="H73" i="77"/>
  <c r="H74" i="77"/>
  <c r="H75" i="77"/>
  <c r="H76" i="77"/>
  <c r="H77" i="77"/>
  <c r="H78" i="77"/>
  <c r="H79" i="77"/>
  <c r="H80" i="77"/>
  <c r="H81" i="77"/>
  <c r="H82" i="77"/>
  <c r="H83" i="77"/>
  <c r="H70" i="77"/>
  <c r="S48" i="40"/>
  <c r="S46" i="40"/>
  <c r="C46" i="40"/>
  <c r="C48" i="40" s="1"/>
  <c r="S31" i="40"/>
  <c r="S32" i="40"/>
  <c r="S33" i="40"/>
  <c r="S34" i="40"/>
  <c r="S35" i="40"/>
  <c r="S36" i="40"/>
  <c r="S37" i="40"/>
  <c r="S38" i="40"/>
  <c r="S39" i="40"/>
  <c r="S40" i="40"/>
  <c r="S41" i="40"/>
  <c r="S42" i="40"/>
  <c r="S43" i="40"/>
  <c r="S44" i="40"/>
  <c r="S45" i="40"/>
  <c r="S30" i="40"/>
  <c r="R30" i="40"/>
  <c r="O31" i="40"/>
  <c r="O32" i="40"/>
  <c r="O33" i="40"/>
  <c r="O34" i="40"/>
  <c r="O35" i="40"/>
  <c r="O36" i="40"/>
  <c r="O37" i="40"/>
  <c r="O38" i="40"/>
  <c r="O39" i="40"/>
  <c r="O40" i="40"/>
  <c r="O41" i="40"/>
  <c r="O42" i="40"/>
  <c r="O43" i="40"/>
  <c r="O44" i="40"/>
  <c r="O45" i="40"/>
  <c r="O30" i="40"/>
  <c r="N31" i="40"/>
  <c r="N32" i="40"/>
  <c r="N33" i="40"/>
  <c r="N34" i="40"/>
  <c r="N35" i="40"/>
  <c r="N36" i="40"/>
  <c r="N37" i="40"/>
  <c r="N38" i="40"/>
  <c r="N39" i="40"/>
  <c r="N40" i="40"/>
  <c r="N41" i="40"/>
  <c r="N42" i="40"/>
  <c r="N43" i="40"/>
  <c r="N44" i="40"/>
  <c r="N45" i="40"/>
  <c r="N30" i="40"/>
  <c r="K31" i="40"/>
  <c r="K32" i="40"/>
  <c r="K33" i="40"/>
  <c r="K34" i="40"/>
  <c r="K35" i="40"/>
  <c r="K36" i="40"/>
  <c r="K37" i="40"/>
  <c r="K38" i="40"/>
  <c r="K39" i="40"/>
  <c r="K40" i="40"/>
  <c r="K41" i="40"/>
  <c r="K42" i="40"/>
  <c r="K43" i="40"/>
  <c r="K44" i="40"/>
  <c r="K45" i="40"/>
  <c r="K30" i="40"/>
  <c r="J31" i="40"/>
  <c r="J32" i="40"/>
  <c r="J33" i="40"/>
  <c r="J34" i="40"/>
  <c r="J35" i="40"/>
  <c r="J36" i="40"/>
  <c r="J37" i="40"/>
  <c r="J38" i="40"/>
  <c r="J39" i="40"/>
  <c r="J40" i="40"/>
  <c r="J41" i="40"/>
  <c r="J42" i="40"/>
  <c r="J43" i="40"/>
  <c r="J44" i="40"/>
  <c r="J45" i="40"/>
  <c r="J30" i="40"/>
  <c r="G31" i="40"/>
  <c r="G32" i="40"/>
  <c r="G33" i="40"/>
  <c r="G34" i="40"/>
  <c r="G35" i="40"/>
  <c r="G36" i="40"/>
  <c r="G37" i="40"/>
  <c r="G38" i="40"/>
  <c r="G39" i="40"/>
  <c r="G40" i="40"/>
  <c r="G41" i="40"/>
  <c r="G42" i="40"/>
  <c r="G43" i="40"/>
  <c r="G44" i="40"/>
  <c r="G45" i="40"/>
  <c r="G30" i="40"/>
  <c r="E30" i="40"/>
  <c r="D30" i="40"/>
  <c r="F31" i="40"/>
  <c r="F32" i="40"/>
  <c r="F33" i="40"/>
  <c r="F34" i="40"/>
  <c r="F35" i="40"/>
  <c r="F36" i="40"/>
  <c r="F37" i="40"/>
  <c r="F38" i="40"/>
  <c r="F39" i="40"/>
  <c r="F40" i="40"/>
  <c r="F41" i="40"/>
  <c r="F42" i="40"/>
  <c r="F43" i="40"/>
  <c r="F44" i="40"/>
  <c r="F45" i="40"/>
  <c r="F30" i="40"/>
  <c r="S27" i="40"/>
  <c r="S26" i="40"/>
  <c r="S25" i="40"/>
  <c r="S24" i="40"/>
  <c r="S19" i="40"/>
  <c r="S23" i="40"/>
  <c r="R23" i="40"/>
  <c r="O24" i="40"/>
  <c r="O25" i="40"/>
  <c r="O23" i="40"/>
  <c r="N27" i="40"/>
  <c r="N24" i="40"/>
  <c r="N25" i="40"/>
  <c r="N23" i="40"/>
  <c r="L23" i="40"/>
  <c r="K26" i="40"/>
  <c r="K24" i="40"/>
  <c r="K25" i="40"/>
  <c r="K23" i="40"/>
  <c r="G23" i="40"/>
  <c r="D23" i="40"/>
  <c r="D27" i="40"/>
  <c r="E27" i="40"/>
  <c r="F27" i="40"/>
  <c r="G27" i="40"/>
  <c r="H27" i="40"/>
  <c r="I27" i="40"/>
  <c r="J27" i="40"/>
  <c r="C27" i="40"/>
  <c r="D26" i="40"/>
  <c r="E26" i="40"/>
  <c r="F26" i="40"/>
  <c r="G26" i="40"/>
  <c r="H26" i="40"/>
  <c r="I26" i="40"/>
  <c r="J26" i="40"/>
  <c r="K27" i="40"/>
  <c r="C26" i="40"/>
  <c r="J24" i="40"/>
  <c r="J25" i="40"/>
  <c r="J23" i="40"/>
  <c r="I23" i="40"/>
  <c r="H23" i="40"/>
  <c r="G24" i="40"/>
  <c r="G25" i="40"/>
  <c r="H25" i="40" s="1"/>
  <c r="I25" i="40" s="1"/>
  <c r="L25" i="40" s="1"/>
  <c r="M25" i="40" s="1"/>
  <c r="P25" i="40" s="1"/>
  <c r="Q25" i="40" s="1"/>
  <c r="R25" i="40" s="1"/>
  <c r="F24" i="40"/>
  <c r="F25" i="40"/>
  <c r="F23" i="40"/>
  <c r="S20" i="40"/>
  <c r="S18" i="40"/>
  <c r="R19" i="40"/>
  <c r="R18" i="40"/>
  <c r="O19" i="40"/>
  <c r="O18" i="40"/>
  <c r="N19" i="40"/>
  <c r="N18" i="40"/>
  <c r="L18" i="40"/>
  <c r="K19" i="40"/>
  <c r="K18" i="40"/>
  <c r="J20" i="40"/>
  <c r="J19" i="40"/>
  <c r="J18" i="40"/>
  <c r="H18" i="40"/>
  <c r="G19" i="40"/>
  <c r="G18" i="40"/>
  <c r="F20" i="40"/>
  <c r="F19" i="40"/>
  <c r="F18" i="40"/>
  <c r="D5" i="83"/>
  <c r="D4" i="83"/>
  <c r="D3" i="83"/>
  <c r="C27" i="36"/>
  <c r="C17" i="36"/>
  <c r="C16" i="36"/>
  <c r="C15" i="36"/>
  <c r="C14" i="36"/>
  <c r="C13" i="36"/>
  <c r="C12" i="36"/>
  <c r="T20" i="52"/>
  <c r="T21" i="52"/>
  <c r="U20" i="52"/>
  <c r="U21" i="52"/>
  <c r="V20" i="52"/>
  <c r="V21" i="52"/>
  <c r="V19" i="52"/>
  <c r="U19" i="52"/>
  <c r="S20" i="52"/>
  <c r="S21" i="52"/>
  <c r="S19" i="52"/>
  <c r="V31" i="52"/>
  <c r="V32" i="52"/>
  <c r="V33" i="52"/>
  <c r="T32" i="52"/>
  <c r="T33" i="52"/>
  <c r="U32" i="52"/>
  <c r="U33" i="52"/>
  <c r="U31" i="52"/>
  <c r="T31" i="52"/>
  <c r="S32" i="52"/>
  <c r="S33" i="52"/>
  <c r="N13" i="28"/>
  <c r="N14" i="28"/>
  <c r="N15" i="28"/>
  <c r="N16" i="28"/>
  <c r="N17" i="28"/>
  <c r="N18" i="28"/>
  <c r="N19" i="28"/>
  <c r="N20" i="28"/>
  <c r="N21" i="28"/>
  <c r="N22" i="28"/>
  <c r="N23" i="28"/>
  <c r="N24" i="28"/>
  <c r="N25" i="28"/>
  <c r="N26" i="28"/>
  <c r="N27" i="28"/>
  <c r="N28" i="28"/>
  <c r="N29" i="28"/>
  <c r="N30" i="28"/>
  <c r="N31" i="28"/>
  <c r="N32" i="28"/>
  <c r="N33" i="28"/>
  <c r="N34" i="28"/>
  <c r="N35" i="28"/>
  <c r="N36" i="28"/>
  <c r="N37" i="28"/>
  <c r="N38" i="28"/>
  <c r="N39" i="28"/>
  <c r="N40" i="28"/>
  <c r="N41" i="28"/>
  <c r="N42" i="28"/>
  <c r="N43" i="28"/>
  <c r="N44" i="28"/>
  <c r="N45" i="28"/>
  <c r="N46" i="28"/>
  <c r="J72" i="77"/>
  <c r="J73" i="77"/>
  <c r="J74" i="77"/>
  <c r="J75" i="77"/>
  <c r="J76" i="77"/>
  <c r="J77" i="77"/>
  <c r="J78" i="77"/>
  <c r="J79" i="77"/>
  <c r="J80" i="77"/>
  <c r="J81" i="77"/>
  <c r="J82" i="77"/>
  <c r="J83" i="77"/>
  <c r="G89" i="77"/>
  <c r="E89" i="77"/>
  <c r="I71" i="77"/>
  <c r="I72" i="77"/>
  <c r="I73" i="77"/>
  <c r="I74" i="77"/>
  <c r="I75" i="77"/>
  <c r="I76" i="77"/>
  <c r="I77" i="77"/>
  <c r="I78" i="77"/>
  <c r="I79" i="77"/>
  <c r="I80" i="77"/>
  <c r="I81" i="77"/>
  <c r="I82" i="77"/>
  <c r="I83" i="77"/>
  <c r="I70" i="77"/>
  <c r="H11" i="79"/>
  <c r="H12" i="79"/>
  <c r="H13" i="79"/>
  <c r="H14" i="79"/>
  <c r="H15" i="79"/>
  <c r="H16" i="79"/>
  <c r="H17" i="79"/>
  <c r="H18" i="79"/>
  <c r="H19" i="79"/>
  <c r="H20" i="79"/>
  <c r="H21" i="79"/>
  <c r="H22" i="79"/>
  <c r="H23" i="79"/>
  <c r="H24" i="79"/>
  <c r="H25" i="79"/>
  <c r="H26" i="79"/>
  <c r="H27" i="79"/>
  <c r="H28" i="79"/>
  <c r="H29" i="79"/>
  <c r="H30" i="79"/>
  <c r="H31" i="79"/>
  <c r="H32" i="79"/>
  <c r="H33" i="79"/>
  <c r="H34" i="79"/>
  <c r="I11" i="79"/>
  <c r="E13" i="81"/>
  <c r="E14" i="81"/>
  <c r="E15" i="81"/>
  <c r="E16" i="81"/>
  <c r="E17" i="81"/>
  <c r="E18" i="81"/>
  <c r="E19" i="81"/>
  <c r="E12" i="81"/>
  <c r="F13" i="81"/>
  <c r="F14" i="81"/>
  <c r="F15" i="81"/>
  <c r="F16" i="81"/>
  <c r="F17" i="81"/>
  <c r="F18" i="81"/>
  <c r="F19" i="81"/>
  <c r="F12" i="81"/>
  <c r="D13" i="81"/>
  <c r="D14" i="81"/>
  <c r="D15" i="81"/>
  <c r="D16" i="81"/>
  <c r="D17" i="81"/>
  <c r="D18" i="81"/>
  <c r="D19" i="81"/>
  <c r="D12" i="81"/>
  <c r="F26" i="81"/>
  <c r="F27" i="81"/>
  <c r="F28" i="81"/>
  <c r="F29" i="81"/>
  <c r="F30" i="81"/>
  <c r="F31" i="81"/>
  <c r="F32" i="81"/>
  <c r="F33" i="81"/>
  <c r="F34" i="81"/>
  <c r="F35" i="81"/>
  <c r="F25" i="81"/>
  <c r="E26" i="81"/>
  <c r="E27" i="81"/>
  <c r="E28" i="81"/>
  <c r="E29" i="81"/>
  <c r="E30" i="81"/>
  <c r="E31" i="81"/>
  <c r="E32" i="81"/>
  <c r="E33" i="81"/>
  <c r="E34" i="81"/>
  <c r="E35" i="81"/>
  <c r="E25" i="81"/>
  <c r="F42" i="81"/>
  <c r="F43" i="81"/>
  <c r="F44" i="81"/>
  <c r="F45" i="81"/>
  <c r="F46" i="81"/>
  <c r="F47" i="81"/>
  <c r="F48" i="81"/>
  <c r="F49" i="81"/>
  <c r="F50" i="81"/>
  <c r="F51" i="81"/>
  <c r="F41" i="81"/>
  <c r="H33" i="40"/>
  <c r="I33" i="40" s="1"/>
  <c r="L33" i="40" s="1"/>
  <c r="M33" i="40" s="1"/>
  <c r="P33" i="40" s="1"/>
  <c r="Q33" i="40" s="1"/>
  <c r="R33" i="40" s="1"/>
  <c r="H41" i="40"/>
  <c r="I41" i="40" s="1"/>
  <c r="L41" i="40" s="1"/>
  <c r="M41" i="40" s="1"/>
  <c r="P41" i="40" s="1"/>
  <c r="Q41" i="40" s="1"/>
  <c r="R41" i="40" s="1"/>
  <c r="E31" i="40"/>
  <c r="E33" i="40"/>
  <c r="E34" i="40"/>
  <c r="E39" i="40"/>
  <c r="E41" i="40"/>
  <c r="E42" i="40"/>
  <c r="H42" i="40" s="1"/>
  <c r="I42" i="40" s="1"/>
  <c r="L42" i="40" s="1"/>
  <c r="M42" i="40" s="1"/>
  <c r="D31" i="40"/>
  <c r="D32" i="40"/>
  <c r="D33" i="40"/>
  <c r="D34" i="40"/>
  <c r="D35" i="40"/>
  <c r="D36" i="40"/>
  <c r="E36" i="40" s="1"/>
  <c r="D37" i="40"/>
  <c r="D38" i="40"/>
  <c r="D39" i="40"/>
  <c r="D40" i="40"/>
  <c r="D41" i="40"/>
  <c r="D42" i="40"/>
  <c r="D43" i="40"/>
  <c r="D44" i="40"/>
  <c r="E44" i="40" s="1"/>
  <c r="D45" i="40"/>
  <c r="D18" i="40"/>
  <c r="O21" i="40"/>
  <c r="K21" i="40"/>
  <c r="K22" i="40"/>
  <c r="E23" i="40"/>
  <c r="D24" i="40"/>
  <c r="E24" i="40" s="1"/>
  <c r="H24" i="40" s="1"/>
  <c r="I24" i="40" s="1"/>
  <c r="L24" i="40" s="1"/>
  <c r="M24" i="40" s="1"/>
  <c r="P24" i="40" s="1"/>
  <c r="Q24" i="40" s="1"/>
  <c r="R24" i="40" s="1"/>
  <c r="D25" i="40"/>
  <c r="E25" i="40"/>
  <c r="D19" i="40"/>
  <c r="D20" i="40" s="1"/>
  <c r="D21" i="40"/>
  <c r="E18" i="40"/>
  <c r="E20" i="40" s="1"/>
  <c r="E19" i="40"/>
  <c r="E7" i="83"/>
  <c r="E6" i="83"/>
  <c r="E3" i="83"/>
  <c r="E5" i="83"/>
  <c r="E4" i="83"/>
  <c r="N44" i="39" l="1"/>
  <c r="N51" i="39"/>
  <c r="N43" i="39"/>
  <c r="N35" i="39"/>
  <c r="N27" i="39"/>
  <c r="N52" i="39"/>
  <c r="N28" i="39"/>
  <c r="M36" i="39"/>
  <c r="C24" i="36"/>
  <c r="C19" i="36"/>
  <c r="C20" i="36" s="1"/>
  <c r="P42" i="40"/>
  <c r="Q42" i="40" s="1"/>
  <c r="R42" i="40" s="1"/>
  <c r="H34" i="40"/>
  <c r="I34" i="40" s="1"/>
  <c r="L34" i="40" s="1"/>
  <c r="M34" i="40" s="1"/>
  <c r="P34" i="40" s="1"/>
  <c r="Q34" i="40" s="1"/>
  <c r="R34" i="40" s="1"/>
  <c r="H31" i="40"/>
  <c r="I31" i="40" s="1"/>
  <c r="L31" i="40" s="1"/>
  <c r="M31" i="40" s="1"/>
  <c r="P31" i="40" s="1"/>
  <c r="Q31" i="40" s="1"/>
  <c r="R31" i="40" s="1"/>
  <c r="H44" i="40"/>
  <c r="I44" i="40" s="1"/>
  <c r="L44" i="40" s="1"/>
  <c r="M44" i="40" s="1"/>
  <c r="P44" i="40" s="1"/>
  <c r="Q44" i="40" s="1"/>
  <c r="R44" i="40" s="1"/>
  <c r="H36" i="40"/>
  <c r="I36" i="40" s="1"/>
  <c r="L36" i="40" s="1"/>
  <c r="M36" i="40" s="1"/>
  <c r="P36" i="40" s="1"/>
  <c r="Q36" i="40" s="1"/>
  <c r="R36" i="40" s="1"/>
  <c r="H39" i="40"/>
  <c r="I39" i="40" s="1"/>
  <c r="L39" i="40" s="1"/>
  <c r="M39" i="40" s="1"/>
  <c r="P39" i="40" s="1"/>
  <c r="Q39" i="40" s="1"/>
  <c r="R39" i="40" s="1"/>
  <c r="E43" i="40"/>
  <c r="H43" i="40" s="1"/>
  <c r="I43" i="40" s="1"/>
  <c r="L43" i="40" s="1"/>
  <c r="M43" i="40" s="1"/>
  <c r="P43" i="40" s="1"/>
  <c r="Q43" i="40" s="1"/>
  <c r="R43" i="40" s="1"/>
  <c r="E35" i="40"/>
  <c r="H35" i="40" s="1"/>
  <c r="I35" i="40" s="1"/>
  <c r="L35" i="40" s="1"/>
  <c r="M35" i="40" s="1"/>
  <c r="P35" i="40" s="1"/>
  <c r="Q35" i="40" s="1"/>
  <c r="R35" i="40" s="1"/>
  <c r="E40" i="40"/>
  <c r="H40" i="40" s="1"/>
  <c r="I40" i="40" s="1"/>
  <c r="L40" i="40" s="1"/>
  <c r="M40" i="40" s="1"/>
  <c r="P40" i="40" s="1"/>
  <c r="Q40" i="40" s="1"/>
  <c r="R40" i="40" s="1"/>
  <c r="E32" i="40"/>
  <c r="H32" i="40" s="1"/>
  <c r="I32" i="40" s="1"/>
  <c r="L32" i="40" s="1"/>
  <c r="M32" i="40" s="1"/>
  <c r="P32" i="40" s="1"/>
  <c r="Q32" i="40" s="1"/>
  <c r="R32" i="40" s="1"/>
  <c r="D46" i="40"/>
  <c r="D48" i="40" s="1"/>
  <c r="E38" i="40"/>
  <c r="H38" i="40" s="1"/>
  <c r="I38" i="40" s="1"/>
  <c r="L38" i="40" s="1"/>
  <c r="M38" i="40" s="1"/>
  <c r="P38" i="40" s="1"/>
  <c r="Q38" i="40" s="1"/>
  <c r="R38" i="40" s="1"/>
  <c r="E45" i="40"/>
  <c r="H45" i="40" s="1"/>
  <c r="I45" i="40" s="1"/>
  <c r="L45" i="40" s="1"/>
  <c r="M45" i="40" s="1"/>
  <c r="P45" i="40" s="1"/>
  <c r="Q45" i="40" s="1"/>
  <c r="R45" i="40" s="1"/>
  <c r="E37" i="40"/>
  <c r="H37" i="40" s="1"/>
  <c r="I37" i="40" s="1"/>
  <c r="L37" i="40" s="1"/>
  <c r="M37" i="40" s="1"/>
  <c r="P37" i="40" s="1"/>
  <c r="Q37" i="40" s="1"/>
  <c r="R37" i="40" s="1"/>
  <c r="E46" i="40" l="1"/>
  <c r="E48" i="40" s="1"/>
  <c r="F46" i="40"/>
  <c r="H19" i="40"/>
  <c r="G20" i="40" l="1"/>
  <c r="G46" i="40"/>
  <c r="H30" i="40"/>
  <c r="F48" i="40"/>
  <c r="I19" i="40"/>
  <c r="C25" i="64"/>
  <c r="C25" i="65"/>
  <c r="C27" i="64"/>
  <c r="C24" i="64"/>
  <c r="I12" i="79"/>
  <c r="N15" i="79"/>
  <c r="N16" i="79"/>
  <c r="N19" i="79"/>
  <c r="N18" i="79"/>
  <c r="N17" i="79"/>
  <c r="V25" i="52" a="1"/>
  <c r="V25" i="52" s="1"/>
  <c r="U25" i="52" a="1"/>
  <c r="U25" i="52" s="1"/>
  <c r="T25" i="52" a="1"/>
  <c r="T25" i="52" s="1"/>
  <c r="S25" i="52" a="1"/>
  <c r="S25" i="52" s="1"/>
  <c r="H17" i="75"/>
  <c r="H18" i="75"/>
  <c r="H19" i="75"/>
  <c r="H20" i="75"/>
  <c r="H21" i="75"/>
  <c r="H22" i="75"/>
  <c r="H23" i="75"/>
  <c r="H24" i="75"/>
  <c r="H25" i="75"/>
  <c r="H26" i="75"/>
  <c r="H27" i="75"/>
  <c r="H28" i="75"/>
  <c r="H29" i="75"/>
  <c r="H30" i="75"/>
  <c r="H31" i="75"/>
  <c r="H32" i="75"/>
  <c r="H33" i="75"/>
  <c r="H34" i="75"/>
  <c r="H35" i="75"/>
  <c r="H36" i="75"/>
  <c r="H37" i="75"/>
  <c r="H38" i="75"/>
  <c r="H39" i="75"/>
  <c r="H40" i="75"/>
  <c r="H41" i="75"/>
  <c r="H42" i="75"/>
  <c r="H43" i="75"/>
  <c r="H44" i="75"/>
  <c r="H45" i="75"/>
  <c r="H46" i="75"/>
  <c r="H47" i="75"/>
  <c r="H48" i="75"/>
  <c r="H49" i="75"/>
  <c r="H50" i="75"/>
  <c r="H51" i="75"/>
  <c r="H52" i="75"/>
  <c r="H53" i="75"/>
  <c r="H54" i="75"/>
  <c r="H55" i="75"/>
  <c r="H56" i="75"/>
  <c r="H57" i="75"/>
  <c r="H58" i="75"/>
  <c r="H59" i="75"/>
  <c r="H60" i="75"/>
  <c r="H61" i="75"/>
  <c r="H62" i="75"/>
  <c r="H63" i="75"/>
  <c r="H64" i="75"/>
  <c r="H65" i="75"/>
  <c r="H66" i="75"/>
  <c r="H67" i="75"/>
  <c r="H68" i="75"/>
  <c r="H69" i="75"/>
  <c r="H70" i="75"/>
  <c r="H71" i="75"/>
  <c r="H72" i="75"/>
  <c r="H73" i="75"/>
  <c r="H74" i="75"/>
  <c r="H75" i="75"/>
  <c r="H76" i="75"/>
  <c r="H77" i="75"/>
  <c r="H78" i="75"/>
  <c r="H79" i="75"/>
  <c r="H80" i="75"/>
  <c r="H81" i="75"/>
  <c r="H82" i="75"/>
  <c r="H83" i="75"/>
  <c r="H84" i="75"/>
  <c r="H85" i="75"/>
  <c r="H86" i="75"/>
  <c r="H87" i="75"/>
  <c r="H88" i="75"/>
  <c r="H89" i="75"/>
  <c r="H90" i="75"/>
  <c r="H91" i="75"/>
  <c r="H92" i="75"/>
  <c r="H93" i="75"/>
  <c r="H94" i="75"/>
  <c r="H95" i="75"/>
  <c r="H96" i="75"/>
  <c r="H97" i="75"/>
  <c r="H98" i="75"/>
  <c r="H99" i="75"/>
  <c r="H100" i="75"/>
  <c r="H101" i="75"/>
  <c r="H102" i="75"/>
  <c r="H103" i="75"/>
  <c r="H104" i="75"/>
  <c r="H105" i="75"/>
  <c r="H106" i="75"/>
  <c r="H107" i="75"/>
  <c r="H108" i="75"/>
  <c r="H109" i="75"/>
  <c r="H110" i="75"/>
  <c r="H111" i="75"/>
  <c r="H112" i="75"/>
  <c r="H113" i="75"/>
  <c r="H114" i="75"/>
  <c r="H115" i="75"/>
  <c r="H116" i="75"/>
  <c r="H117" i="75"/>
  <c r="H118" i="75"/>
  <c r="H119" i="75"/>
  <c r="H120" i="75"/>
  <c r="H121" i="75"/>
  <c r="H122" i="75"/>
  <c r="H123" i="75"/>
  <c r="H124" i="75"/>
  <c r="H125" i="75"/>
  <c r="H126" i="75"/>
  <c r="H127" i="75"/>
  <c r="H128" i="75"/>
  <c r="H129" i="75"/>
  <c r="H130" i="75"/>
  <c r="H131" i="75"/>
  <c r="H132" i="75"/>
  <c r="H133" i="75"/>
  <c r="H134" i="75"/>
  <c r="H135" i="75"/>
  <c r="H136" i="75"/>
  <c r="H137" i="75"/>
  <c r="H138" i="75"/>
  <c r="H139" i="75"/>
  <c r="H140" i="75"/>
  <c r="H141" i="75"/>
  <c r="H142" i="75"/>
  <c r="H143" i="75"/>
  <c r="H144" i="75"/>
  <c r="H145" i="75"/>
  <c r="H146" i="75"/>
  <c r="H147" i="75"/>
  <c r="H148" i="75"/>
  <c r="H149" i="75"/>
  <c r="H150" i="75"/>
  <c r="H151" i="75"/>
  <c r="H152" i="75"/>
  <c r="H153" i="75"/>
  <c r="H154" i="75"/>
  <c r="H155" i="75"/>
  <c r="H156" i="75"/>
  <c r="H157" i="75"/>
  <c r="H158" i="75"/>
  <c r="H159" i="75"/>
  <c r="H160" i="75"/>
  <c r="H161" i="75"/>
  <c r="H162" i="75"/>
  <c r="H163" i="75"/>
  <c r="H164" i="75"/>
  <c r="H165" i="75"/>
  <c r="H166" i="75"/>
  <c r="H167" i="75"/>
  <c r="H168" i="75"/>
  <c r="H169" i="75"/>
  <c r="H170" i="75"/>
  <c r="H171" i="75"/>
  <c r="H172" i="75"/>
  <c r="H173" i="75"/>
  <c r="H174" i="75"/>
  <c r="H175" i="75"/>
  <c r="H176" i="75"/>
  <c r="H177" i="75"/>
  <c r="H178" i="75"/>
  <c r="H179" i="75"/>
  <c r="H180" i="75"/>
  <c r="H181" i="75"/>
  <c r="H182" i="75"/>
  <c r="H183" i="75"/>
  <c r="H184" i="75"/>
  <c r="H185" i="75"/>
  <c r="H186" i="75"/>
  <c r="H187" i="75"/>
  <c r="H188" i="75"/>
  <c r="H189" i="75"/>
  <c r="H190" i="75"/>
  <c r="H191" i="75"/>
  <c r="H192" i="75"/>
  <c r="H193" i="75"/>
  <c r="H194" i="75"/>
  <c r="H195" i="75"/>
  <c r="H196" i="75"/>
  <c r="H197" i="75"/>
  <c r="H198" i="75"/>
  <c r="H199" i="75"/>
  <c r="H200" i="75"/>
  <c r="H201" i="75"/>
  <c r="H202" i="75"/>
  <c r="H203" i="75"/>
  <c r="H204" i="75"/>
  <c r="H205" i="75"/>
  <c r="H206" i="75"/>
  <c r="H207" i="75"/>
  <c r="H208" i="75"/>
  <c r="H209" i="75"/>
  <c r="H210" i="75"/>
  <c r="H211" i="75"/>
  <c r="H212" i="75"/>
  <c r="H213" i="75"/>
  <c r="H214" i="75"/>
  <c r="H215" i="75"/>
  <c r="H216" i="75"/>
  <c r="H217" i="75"/>
  <c r="H218" i="75"/>
  <c r="H219" i="75"/>
  <c r="H220" i="75"/>
  <c r="H221" i="75"/>
  <c r="H222" i="75"/>
  <c r="H223" i="75"/>
  <c r="H224" i="75"/>
  <c r="H225" i="75"/>
  <c r="H226" i="75"/>
  <c r="H227" i="75"/>
  <c r="H228" i="75"/>
  <c r="H229" i="75"/>
  <c r="H230" i="75"/>
  <c r="H231" i="75"/>
  <c r="H232" i="75"/>
  <c r="H233" i="75"/>
  <c r="H234" i="75"/>
  <c r="H235" i="75"/>
  <c r="H236" i="75"/>
  <c r="H237" i="75"/>
  <c r="H238" i="75"/>
  <c r="H239" i="75"/>
  <c r="H240" i="75"/>
  <c r="H241" i="75"/>
  <c r="H242" i="75"/>
  <c r="H243" i="75"/>
  <c r="H244" i="75"/>
  <c r="H245" i="75"/>
  <c r="H246" i="75"/>
  <c r="H247" i="75"/>
  <c r="H248" i="75"/>
  <c r="H249" i="75"/>
  <c r="H250" i="75"/>
  <c r="H251" i="75"/>
  <c r="H252" i="75"/>
  <c r="H253" i="75"/>
  <c r="H254" i="75"/>
  <c r="H255" i="75"/>
  <c r="H256" i="75"/>
  <c r="H257" i="75"/>
  <c r="H258" i="75"/>
  <c r="H259" i="75"/>
  <c r="H260" i="75"/>
  <c r="H261" i="75"/>
  <c r="H262" i="75"/>
  <c r="H263" i="75"/>
  <c r="H264" i="75"/>
  <c r="H265" i="75"/>
  <c r="H266" i="75"/>
  <c r="H267" i="75"/>
  <c r="H268" i="75"/>
  <c r="H269" i="75"/>
  <c r="H270" i="75"/>
  <c r="H271" i="75"/>
  <c r="H272" i="75"/>
  <c r="H273" i="75"/>
  <c r="H274" i="75"/>
  <c r="H275" i="75"/>
  <c r="H276" i="75"/>
  <c r="H277" i="75"/>
  <c r="H278" i="75"/>
  <c r="H279" i="75"/>
  <c r="H280" i="75"/>
  <c r="H281" i="75"/>
  <c r="H282" i="75"/>
  <c r="H283" i="75"/>
  <c r="H284" i="75"/>
  <c r="H285" i="75"/>
  <c r="H286" i="75"/>
  <c r="H287" i="75"/>
  <c r="H288" i="75"/>
  <c r="H289" i="75"/>
  <c r="H290" i="75"/>
  <c r="H291" i="75"/>
  <c r="H292" i="75"/>
  <c r="H293" i="75"/>
  <c r="H294" i="75"/>
  <c r="H295" i="75"/>
  <c r="H296" i="75"/>
  <c r="H297" i="75"/>
  <c r="H298" i="75"/>
  <c r="H299" i="75"/>
  <c r="H300" i="75"/>
  <c r="H301" i="75"/>
  <c r="H302" i="75"/>
  <c r="H303" i="75"/>
  <c r="H304" i="75"/>
  <c r="H305" i="75"/>
  <c r="H306" i="75"/>
  <c r="H307" i="75"/>
  <c r="H308" i="75"/>
  <c r="H309" i="75"/>
  <c r="H310" i="75"/>
  <c r="H311" i="75"/>
  <c r="H312" i="75"/>
  <c r="H313" i="75"/>
  <c r="H314" i="75"/>
  <c r="H315" i="75"/>
  <c r="H316" i="75"/>
  <c r="H317" i="75"/>
  <c r="H318" i="75"/>
  <c r="H319" i="75"/>
  <c r="H320" i="75"/>
  <c r="H321" i="75"/>
  <c r="H322" i="75"/>
  <c r="H323" i="75"/>
  <c r="H324" i="75"/>
  <c r="H325" i="75"/>
  <c r="H326" i="75"/>
  <c r="H327" i="75"/>
  <c r="H328" i="75"/>
  <c r="H329" i="75"/>
  <c r="H330" i="75"/>
  <c r="H331" i="75"/>
  <c r="H332" i="75"/>
  <c r="H333" i="75"/>
  <c r="H334" i="75"/>
  <c r="H335" i="75"/>
  <c r="H336" i="75"/>
  <c r="H337" i="75"/>
  <c r="H338" i="75"/>
  <c r="H339" i="75"/>
  <c r="H340" i="75"/>
  <c r="H341" i="75"/>
  <c r="H342" i="75"/>
  <c r="H343" i="75"/>
  <c r="H344" i="75"/>
  <c r="H345" i="75"/>
  <c r="H346" i="75"/>
  <c r="H347" i="75"/>
  <c r="H348" i="75"/>
  <c r="H349" i="75"/>
  <c r="H350" i="75"/>
  <c r="H351" i="75"/>
  <c r="H352" i="75"/>
  <c r="H353" i="75"/>
  <c r="H354" i="75"/>
  <c r="H355" i="75"/>
  <c r="H356" i="75"/>
  <c r="H357" i="75"/>
  <c r="H358" i="75"/>
  <c r="H359" i="75"/>
  <c r="H360" i="75"/>
  <c r="H361" i="75"/>
  <c r="H362" i="75"/>
  <c r="H363" i="75"/>
  <c r="H364" i="75"/>
  <c r="H365" i="75"/>
  <c r="H366" i="75"/>
  <c r="H367" i="75"/>
  <c r="H368" i="75"/>
  <c r="H369" i="75"/>
  <c r="H370" i="75"/>
  <c r="H371" i="75"/>
  <c r="H372" i="75"/>
  <c r="H373" i="75"/>
  <c r="H374" i="75"/>
  <c r="H375" i="75"/>
  <c r="H376" i="75"/>
  <c r="H377" i="75"/>
  <c r="H378" i="75"/>
  <c r="H379" i="75"/>
  <c r="H380" i="75"/>
  <c r="H381" i="75"/>
  <c r="H382" i="75"/>
  <c r="H383" i="75"/>
  <c r="H384" i="75"/>
  <c r="H385" i="75"/>
  <c r="H386" i="75"/>
  <c r="H387" i="75"/>
  <c r="H388" i="75"/>
  <c r="H389" i="75"/>
  <c r="H390" i="75"/>
  <c r="H391" i="75"/>
  <c r="H392" i="75"/>
  <c r="H393" i="75"/>
  <c r="H394" i="75"/>
  <c r="H395" i="75"/>
  <c r="H396" i="75"/>
  <c r="H397" i="75"/>
  <c r="H398" i="75"/>
  <c r="H399" i="75"/>
  <c r="H400" i="75"/>
  <c r="H401" i="75"/>
  <c r="H402" i="75"/>
  <c r="H403" i="75"/>
  <c r="H404" i="75"/>
  <c r="H405" i="75"/>
  <c r="H406" i="75"/>
  <c r="H407" i="75"/>
  <c r="H408" i="75"/>
  <c r="H409" i="75"/>
  <c r="H410" i="75"/>
  <c r="H411" i="75"/>
  <c r="H412" i="75"/>
  <c r="H413" i="75"/>
  <c r="H414" i="75"/>
  <c r="H415" i="75"/>
  <c r="H416" i="75"/>
  <c r="H417" i="75"/>
  <c r="H418" i="75"/>
  <c r="H419" i="75"/>
  <c r="H420" i="75"/>
  <c r="H421" i="75"/>
  <c r="H422" i="75"/>
  <c r="H423" i="75"/>
  <c r="H424" i="75"/>
  <c r="H425" i="75"/>
  <c r="H426" i="75"/>
  <c r="H427" i="75"/>
  <c r="H428" i="75"/>
  <c r="H429" i="75"/>
  <c r="H430" i="75"/>
  <c r="H431" i="75"/>
  <c r="H432" i="75"/>
  <c r="H433" i="75"/>
  <c r="H434" i="75"/>
  <c r="H435" i="75"/>
  <c r="H436" i="75"/>
  <c r="H437" i="75"/>
  <c r="H438" i="75"/>
  <c r="H439" i="75"/>
  <c r="H440" i="75"/>
  <c r="H441" i="75"/>
  <c r="H442" i="75"/>
  <c r="H443" i="75"/>
  <c r="H444" i="75"/>
  <c r="H445" i="75"/>
  <c r="H446" i="75"/>
  <c r="H447" i="75"/>
  <c r="H448" i="75"/>
  <c r="H449" i="75"/>
  <c r="H450" i="75"/>
  <c r="H451" i="75"/>
  <c r="H452" i="75"/>
  <c r="H453" i="75"/>
  <c r="H454" i="75"/>
  <c r="H455" i="75"/>
  <c r="H456" i="75"/>
  <c r="H457" i="75"/>
  <c r="H458" i="75"/>
  <c r="H459" i="75"/>
  <c r="H460" i="75"/>
  <c r="H461" i="75"/>
  <c r="H462" i="75"/>
  <c r="H16" i="75"/>
  <c r="E16" i="77"/>
  <c r="E17" i="77"/>
  <c r="E18" i="77"/>
  <c r="E19" i="77"/>
  <c r="E20" i="77"/>
  <c r="E21" i="77"/>
  <c r="E22" i="77"/>
  <c r="E23" i="77"/>
  <c r="E24" i="77"/>
  <c r="E25" i="77"/>
  <c r="E26" i="77"/>
  <c r="E27" i="77"/>
  <c r="E28" i="77"/>
  <c r="E29" i="77"/>
  <c r="E30" i="77"/>
  <c r="E31" i="77"/>
  <c r="E32" i="77"/>
  <c r="E33" i="77"/>
  <c r="E34" i="77"/>
  <c r="E15" i="77"/>
  <c r="N12" i="28"/>
  <c r="P13" i="28"/>
  <c r="P14" i="28"/>
  <c r="P15" i="28"/>
  <c r="P16" i="28"/>
  <c r="P17" i="28"/>
  <c r="P18" i="28"/>
  <c r="P19" i="28"/>
  <c r="P20" i="28"/>
  <c r="P21" i="28"/>
  <c r="P22" i="28"/>
  <c r="P23" i="28"/>
  <c r="P24" i="28"/>
  <c r="P25" i="28"/>
  <c r="P26" i="28"/>
  <c r="P27" i="28"/>
  <c r="P28" i="28"/>
  <c r="P29" i="28"/>
  <c r="P30" i="28"/>
  <c r="P31" i="28"/>
  <c r="P32" i="28"/>
  <c r="P33" i="28"/>
  <c r="P34" i="28"/>
  <c r="P35" i="28"/>
  <c r="P36" i="28"/>
  <c r="P37" i="28"/>
  <c r="P38" i="28"/>
  <c r="P39" i="28"/>
  <c r="P40" i="28"/>
  <c r="P41" i="28"/>
  <c r="P42" i="28"/>
  <c r="P43" i="28"/>
  <c r="P44" i="28"/>
  <c r="P45" i="28"/>
  <c r="P46" i="28"/>
  <c r="P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12" i="28"/>
  <c r="M13" i="28"/>
  <c r="M14" i="28"/>
  <c r="M15" i="28"/>
  <c r="M16" i="28"/>
  <c r="M17" i="28"/>
  <c r="M18" i="28"/>
  <c r="M19" i="28"/>
  <c r="M20" i="28"/>
  <c r="M21" i="28"/>
  <c r="M22" i="28"/>
  <c r="M23" i="28"/>
  <c r="M24" i="28"/>
  <c r="M25" i="28"/>
  <c r="M26" i="28"/>
  <c r="M27" i="28"/>
  <c r="M28" i="28"/>
  <c r="M29" i="28"/>
  <c r="M30" i="28"/>
  <c r="M31" i="28"/>
  <c r="M32" i="28"/>
  <c r="M33" i="28"/>
  <c r="M34" i="28"/>
  <c r="M35" i="28"/>
  <c r="M36" i="28"/>
  <c r="M37" i="28"/>
  <c r="M38" i="28"/>
  <c r="M39" i="28"/>
  <c r="M40" i="28"/>
  <c r="M41" i="28"/>
  <c r="M42" i="28"/>
  <c r="M43" i="28"/>
  <c r="M44" i="28"/>
  <c r="M45" i="28"/>
  <c r="M46" i="28"/>
  <c r="M12" i="28"/>
  <c r="L13" i="28"/>
  <c r="L14" i="28"/>
  <c r="L15" i="28"/>
  <c r="L16" i="28"/>
  <c r="L17" i="28"/>
  <c r="L18" i="28"/>
  <c r="L19" i="28"/>
  <c r="L20" i="28"/>
  <c r="L21" i="28"/>
  <c r="L22" i="28"/>
  <c r="L23" i="28"/>
  <c r="L24" i="28"/>
  <c r="L25" i="28"/>
  <c r="L26" i="28"/>
  <c r="L27" i="28"/>
  <c r="L28" i="28"/>
  <c r="L29" i="28"/>
  <c r="L30" i="28"/>
  <c r="L31" i="28"/>
  <c r="L32" i="28"/>
  <c r="L33" i="28"/>
  <c r="L34" i="28"/>
  <c r="L35" i="28"/>
  <c r="L36" i="28"/>
  <c r="L37" i="28"/>
  <c r="L38" i="28"/>
  <c r="L39" i="28"/>
  <c r="L40" i="28"/>
  <c r="L41" i="28"/>
  <c r="L42" i="28"/>
  <c r="L43" i="28"/>
  <c r="L44" i="28"/>
  <c r="L45" i="28"/>
  <c r="L46" i="28"/>
  <c r="L12" i="28"/>
  <c r="K13" i="28"/>
  <c r="K14" i="28"/>
  <c r="K15" i="28"/>
  <c r="K16" i="28"/>
  <c r="K17" i="28"/>
  <c r="K18" i="28"/>
  <c r="K19" i="28"/>
  <c r="K20" i="28"/>
  <c r="K21" i="28"/>
  <c r="K22" i="28"/>
  <c r="K23" i="28"/>
  <c r="K24" i="28"/>
  <c r="K25" i="28"/>
  <c r="K26" i="28"/>
  <c r="K27" i="28"/>
  <c r="K28" i="28"/>
  <c r="K29" i="28"/>
  <c r="K30" i="28"/>
  <c r="K31" i="28"/>
  <c r="K32" i="28"/>
  <c r="K33" i="28"/>
  <c r="K34" i="28"/>
  <c r="K35" i="28"/>
  <c r="K36" i="28"/>
  <c r="K37" i="28"/>
  <c r="K38" i="28"/>
  <c r="K39" i="28"/>
  <c r="K40" i="28"/>
  <c r="K41" i="28"/>
  <c r="K42" i="28"/>
  <c r="K43" i="28"/>
  <c r="K44" i="28"/>
  <c r="K45" i="28"/>
  <c r="K46" i="28"/>
  <c r="K12" i="28"/>
  <c r="C20" i="40"/>
  <c r="E21" i="40"/>
  <c r="D12" i="58"/>
  <c r="D13" i="58"/>
  <c r="D14" i="58"/>
  <c r="D15" i="58"/>
  <c r="D16" i="58"/>
  <c r="D17" i="58"/>
  <c r="D11" i="58"/>
  <c r="C12" i="58"/>
  <c r="C13" i="58"/>
  <c r="C14" i="58"/>
  <c r="C15" i="58"/>
  <c r="C16" i="58"/>
  <c r="C17" i="58"/>
  <c r="C11" i="58"/>
  <c r="H101" i="35" a="1"/>
  <c r="H101" i="35" s="1"/>
  <c r="G110" i="35" a="1"/>
  <c r="G110" i="35" s="1"/>
  <c r="E101" i="35"/>
  <c r="E102" i="35"/>
  <c r="E103" i="35"/>
  <c r="E104" i="35"/>
  <c r="E105" i="35"/>
  <c r="E106" i="35"/>
  <c r="E107" i="35"/>
  <c r="H102" i="35" s="1"/>
  <c r="E108" i="35"/>
  <c r="E109" i="35"/>
  <c r="E110" i="35"/>
  <c r="F93" i="35"/>
  <c r="D84" i="35"/>
  <c r="H84" i="35"/>
  <c r="H85" i="35"/>
  <c r="H86" i="35"/>
  <c r="H87" i="35"/>
  <c r="G84" i="35"/>
  <c r="G85" i="35"/>
  <c r="G86" i="35"/>
  <c r="G87" i="35"/>
  <c r="F84" i="35"/>
  <c r="F85" i="35"/>
  <c r="F86" i="35"/>
  <c r="F87" i="35"/>
  <c r="E84" i="35"/>
  <c r="E85" i="35"/>
  <c r="E86" i="35"/>
  <c r="E87" i="35"/>
  <c r="D85" i="35"/>
  <c r="D86" i="35"/>
  <c r="D87" i="35"/>
  <c r="E83" i="35"/>
  <c r="F83" i="35"/>
  <c r="G83" i="35"/>
  <c r="H83" i="35"/>
  <c r="D83" i="35"/>
  <c r="H59" i="35"/>
  <c r="H60" i="35"/>
  <c r="H61" i="35"/>
  <c r="H62" i="35"/>
  <c r="H63" i="35"/>
  <c r="H64" i="35"/>
  <c r="H65" i="35"/>
  <c r="H66" i="35"/>
  <c r="H67" i="35"/>
  <c r="G59" i="35"/>
  <c r="G60" i="35"/>
  <c r="G61" i="35"/>
  <c r="G62" i="35"/>
  <c r="G63" i="35"/>
  <c r="G64" i="35"/>
  <c r="G65" i="35"/>
  <c r="G66" i="35"/>
  <c r="G67" i="35"/>
  <c r="F59" i="35"/>
  <c r="F60" i="35"/>
  <c r="F61" i="35"/>
  <c r="F62" i="35"/>
  <c r="F63" i="35"/>
  <c r="F64" i="35"/>
  <c r="F65" i="35"/>
  <c r="F66" i="35"/>
  <c r="F67" i="35"/>
  <c r="E59" i="35"/>
  <c r="E60" i="35"/>
  <c r="E61" i="35"/>
  <c r="E62" i="35"/>
  <c r="E63" i="35"/>
  <c r="E64" i="35"/>
  <c r="E65" i="35"/>
  <c r="E66" i="35"/>
  <c r="E67" i="35"/>
  <c r="D59" i="35"/>
  <c r="D60" i="35"/>
  <c r="D61" i="35"/>
  <c r="D62" i="35"/>
  <c r="D63" i="35"/>
  <c r="D64" i="35"/>
  <c r="D65" i="35"/>
  <c r="D66" i="35"/>
  <c r="D67" i="35"/>
  <c r="E58" i="35"/>
  <c r="F58" i="35"/>
  <c r="G58" i="35"/>
  <c r="H58" i="35"/>
  <c r="D58" i="35"/>
  <c r="F30" i="35"/>
  <c r="F31" i="35"/>
  <c r="F32" i="35"/>
  <c r="F33" i="35"/>
  <c r="F34" i="35"/>
  <c r="F35" i="35"/>
  <c r="F36" i="35"/>
  <c r="F37" i="35"/>
  <c r="F38" i="35"/>
  <c r="F29" i="35"/>
  <c r="E30" i="35"/>
  <c r="E31" i="35"/>
  <c r="E32" i="35"/>
  <c r="E33" i="35"/>
  <c r="E34" i="35"/>
  <c r="E35" i="35"/>
  <c r="E36" i="35"/>
  <c r="E37" i="35"/>
  <c r="E38" i="35"/>
  <c r="E29" i="35"/>
  <c r="D30" i="35"/>
  <c r="D31" i="35"/>
  <c r="D32" i="35"/>
  <c r="D33" i="35"/>
  <c r="D34" i="35"/>
  <c r="D35" i="35"/>
  <c r="D36" i="35"/>
  <c r="D37" i="35"/>
  <c r="D38" i="35"/>
  <c r="D29" i="35"/>
  <c r="G29" i="35"/>
  <c r="G30" i="35" s="1"/>
  <c r="G31" i="35" s="1"/>
  <c r="G32" i="35" s="1"/>
  <c r="G33" i="35" s="1"/>
  <c r="G34" i="35" s="1"/>
  <c r="G35" i="35" s="1"/>
  <c r="G36" i="35" s="1"/>
  <c r="G37" i="35" s="1"/>
  <c r="G38" i="35" s="1"/>
  <c r="H29" i="35"/>
  <c r="H30" i="35" s="1"/>
  <c r="H31" i="35" s="1"/>
  <c r="H32" i="35" s="1"/>
  <c r="H33" i="35" s="1"/>
  <c r="H34" i="35" s="1"/>
  <c r="H35" i="35" s="1"/>
  <c r="H36" i="35" s="1"/>
  <c r="H37" i="35" s="1"/>
  <c r="H38" i="35" s="1"/>
  <c r="F17" i="35"/>
  <c r="F18" i="35"/>
  <c r="E13" i="35"/>
  <c r="F13" i="35" s="1"/>
  <c r="E14" i="35"/>
  <c r="F14" i="35" s="1"/>
  <c r="E15" i="35"/>
  <c r="F15" i="35" s="1"/>
  <c r="E16" i="35"/>
  <c r="F16" i="35" s="1"/>
  <c r="E17" i="35"/>
  <c r="E18" i="35"/>
  <c r="E19" i="35"/>
  <c r="F19" i="35" s="1"/>
  <c r="E20" i="35"/>
  <c r="F20" i="35" s="1"/>
  <c r="E21" i="35"/>
  <c r="F21" i="35" s="1"/>
  <c r="E12" i="35"/>
  <c r="F12" i="35" s="1"/>
  <c r="G41" i="45"/>
  <c r="G39" i="45"/>
  <c r="Q44" i="75"/>
  <c r="Q42" i="75"/>
  <c r="G463" i="75"/>
  <c r="E463" i="75"/>
  <c r="P30" i="75"/>
  <c r="P28" i="75"/>
  <c r="P26" i="75"/>
  <c r="O17" i="75"/>
  <c r="O15" i="75"/>
  <c r="O13" i="75"/>
  <c r="F23" i="45"/>
  <c r="E18" i="45"/>
  <c r="E16" i="45"/>
  <c r="E14" i="45"/>
  <c r="F29" i="45"/>
  <c r="F27" i="45"/>
  <c r="K13" i="44"/>
  <c r="K14" i="44"/>
  <c r="G37" i="45" s="1"/>
  <c r="K15" i="44"/>
  <c r="E12" i="45" s="1"/>
  <c r="K16" i="44"/>
  <c r="K17" i="44"/>
  <c r="K18" i="44"/>
  <c r="K19" i="44"/>
  <c r="K20" i="44"/>
  <c r="K21" i="44"/>
  <c r="K22" i="44"/>
  <c r="K23" i="44"/>
  <c r="K24" i="44"/>
  <c r="K25" i="44"/>
  <c r="K26" i="44"/>
  <c r="K27" i="44"/>
  <c r="K28" i="44"/>
  <c r="K29" i="44"/>
  <c r="K30" i="44"/>
  <c r="K31" i="44"/>
  <c r="F25" i="45" s="1"/>
  <c r="K32" i="44"/>
  <c r="K33" i="44"/>
  <c r="K34" i="44"/>
  <c r="K35" i="44"/>
  <c r="K36" i="44"/>
  <c r="K37" i="44"/>
  <c r="K38" i="44"/>
  <c r="K39" i="44"/>
  <c r="K40" i="44"/>
  <c r="K41" i="44"/>
  <c r="K42" i="44"/>
  <c r="K43" i="44"/>
  <c r="K44" i="44"/>
  <c r="K45" i="44"/>
  <c r="K46" i="44"/>
  <c r="K47" i="44"/>
  <c r="I13" i="79"/>
  <c r="I14" i="79"/>
  <c r="I15" i="79"/>
  <c r="I16" i="79"/>
  <c r="I17" i="79"/>
  <c r="I18" i="79"/>
  <c r="I19" i="79"/>
  <c r="I20" i="79"/>
  <c r="I21" i="79"/>
  <c r="I22" i="79"/>
  <c r="I23" i="79"/>
  <c r="I24" i="79"/>
  <c r="I25" i="79"/>
  <c r="I26" i="79"/>
  <c r="I27" i="79"/>
  <c r="I28" i="79"/>
  <c r="I29" i="79"/>
  <c r="I30" i="79"/>
  <c r="I31" i="79"/>
  <c r="I32" i="79"/>
  <c r="I33" i="79"/>
  <c r="I34" i="79"/>
  <c r="Q40" i="75" l="1"/>
  <c r="Q38" i="75"/>
  <c r="O19" i="75"/>
  <c r="C26" i="64"/>
  <c r="C28" i="64" s="1"/>
  <c r="G35" i="45"/>
  <c r="E10" i="45"/>
  <c r="O21" i="75"/>
  <c r="G48" i="40"/>
  <c r="F21" i="40"/>
  <c r="G21" i="40" s="1"/>
  <c r="I30" i="40"/>
  <c r="H46" i="40"/>
  <c r="H20" i="40"/>
  <c r="I18" i="40"/>
  <c r="G1206" i="69"/>
  <c r="G1205" i="69"/>
  <c r="G1204" i="69"/>
  <c r="G1203" i="69"/>
  <c r="G1202" i="69"/>
  <c r="G1201" i="69"/>
  <c r="G1200" i="69"/>
  <c r="G1199" i="69"/>
  <c r="G1198" i="69"/>
  <c r="G1197" i="69"/>
  <c r="G1196" i="69"/>
  <c r="G1195" i="69"/>
  <c r="G1194" i="69"/>
  <c r="G1193" i="69"/>
  <c r="G1192" i="69"/>
  <c r="G1191" i="69"/>
  <c r="G1190" i="69"/>
  <c r="G1189" i="69"/>
  <c r="G1188" i="69"/>
  <c r="G1187" i="69"/>
  <c r="G1186" i="69"/>
  <c r="G1185" i="69"/>
  <c r="G1184" i="69"/>
  <c r="G1183" i="69"/>
  <c r="G1182" i="69"/>
  <c r="G1181" i="69"/>
  <c r="G1180" i="69"/>
  <c r="G1179" i="69"/>
  <c r="G1178" i="69"/>
  <c r="G1177" i="69"/>
  <c r="G1176" i="69"/>
  <c r="G1175" i="69"/>
  <c r="G1174" i="69"/>
  <c r="G1173" i="69"/>
  <c r="G1172" i="69"/>
  <c r="G1171" i="69"/>
  <c r="G1170" i="69"/>
  <c r="G1169" i="69"/>
  <c r="G1168" i="69"/>
  <c r="G1167" i="69"/>
  <c r="G1166" i="69"/>
  <c r="G1165" i="69"/>
  <c r="G1164" i="69"/>
  <c r="G1163" i="69"/>
  <c r="G1162" i="69"/>
  <c r="G1161" i="69"/>
  <c r="G1160" i="69"/>
  <c r="G1159" i="69"/>
  <c r="G1158" i="69"/>
  <c r="G1157" i="69"/>
  <c r="G1156" i="69"/>
  <c r="G1155" i="69"/>
  <c r="G1154" i="69"/>
  <c r="G1153" i="69"/>
  <c r="G1152" i="69"/>
  <c r="G1151" i="69"/>
  <c r="G1150" i="69"/>
  <c r="G1149" i="69"/>
  <c r="G1148" i="69"/>
  <c r="G1147" i="69"/>
  <c r="G1146" i="69"/>
  <c r="G1145" i="69"/>
  <c r="G1144" i="69"/>
  <c r="G1143" i="69"/>
  <c r="G1142" i="69"/>
  <c r="G1141" i="69"/>
  <c r="G1140" i="69"/>
  <c r="G1139" i="69"/>
  <c r="G1138" i="69"/>
  <c r="G1137" i="69"/>
  <c r="G1136" i="69"/>
  <c r="G1135" i="69"/>
  <c r="G1134" i="69"/>
  <c r="G1133" i="69"/>
  <c r="G1132" i="69"/>
  <c r="G1131" i="69"/>
  <c r="G1130" i="69"/>
  <c r="G1129" i="69"/>
  <c r="G1128" i="69"/>
  <c r="G1127" i="69"/>
  <c r="G1126" i="69"/>
  <c r="G1125" i="69"/>
  <c r="G1124" i="69"/>
  <c r="G1123" i="69"/>
  <c r="G1122" i="69"/>
  <c r="G1121" i="69"/>
  <c r="G1120" i="69"/>
  <c r="G1119" i="69"/>
  <c r="G1118" i="69"/>
  <c r="G1117" i="69"/>
  <c r="G1116" i="69"/>
  <c r="G1115" i="69"/>
  <c r="G1114" i="69"/>
  <c r="G1113" i="69"/>
  <c r="G1112" i="69"/>
  <c r="G1111" i="69"/>
  <c r="G1110" i="69"/>
  <c r="G1109" i="69"/>
  <c r="G1108" i="69"/>
  <c r="G1107" i="69"/>
  <c r="G1106" i="69"/>
  <c r="G1105" i="69"/>
  <c r="G1104" i="69"/>
  <c r="G1103" i="69"/>
  <c r="G1102" i="69"/>
  <c r="G1101" i="69"/>
  <c r="G1100" i="69"/>
  <c r="G1099" i="69"/>
  <c r="G1098" i="69"/>
  <c r="G1097" i="69"/>
  <c r="G1096" i="69"/>
  <c r="G1095" i="69"/>
  <c r="G1094" i="69"/>
  <c r="G1093" i="69"/>
  <c r="G1092" i="69"/>
  <c r="G1091" i="69"/>
  <c r="G1090" i="69"/>
  <c r="G1089" i="69"/>
  <c r="G1088" i="69"/>
  <c r="G1087" i="69"/>
  <c r="G1086" i="69"/>
  <c r="G1085" i="69"/>
  <c r="G1084" i="69"/>
  <c r="G1083" i="69"/>
  <c r="G1082" i="69"/>
  <c r="G1081" i="69"/>
  <c r="G1080" i="69"/>
  <c r="G1079" i="69"/>
  <c r="G1078" i="69"/>
  <c r="G1077" i="69"/>
  <c r="G1076" i="69"/>
  <c r="G1075" i="69"/>
  <c r="G1074" i="69"/>
  <c r="G1073" i="69"/>
  <c r="G1072" i="69"/>
  <c r="G1071" i="69"/>
  <c r="G1070" i="69"/>
  <c r="G1069" i="69"/>
  <c r="G1068" i="69"/>
  <c r="G1067" i="69"/>
  <c r="G1066" i="69"/>
  <c r="G1065" i="69"/>
  <c r="G1064" i="69"/>
  <c r="G1063" i="69"/>
  <c r="G1062" i="69"/>
  <c r="G1061" i="69"/>
  <c r="G1060" i="69"/>
  <c r="G1059" i="69"/>
  <c r="G1058" i="69"/>
  <c r="G1057" i="69"/>
  <c r="G1056" i="69"/>
  <c r="G1055" i="69"/>
  <c r="G1054" i="69"/>
  <c r="G1053" i="69"/>
  <c r="G1052" i="69"/>
  <c r="G1051" i="69"/>
  <c r="G1050" i="69"/>
  <c r="G1049" i="69"/>
  <c r="G1048" i="69"/>
  <c r="G1047" i="69"/>
  <c r="G1046" i="69"/>
  <c r="G1045" i="69"/>
  <c r="G1044" i="69"/>
  <c r="G1043" i="69"/>
  <c r="G1042" i="69"/>
  <c r="G1041" i="69"/>
  <c r="G1040" i="69"/>
  <c r="G1039" i="69"/>
  <c r="G1038" i="69"/>
  <c r="G1037" i="69"/>
  <c r="G1036" i="69"/>
  <c r="G1035" i="69"/>
  <c r="G1034" i="69"/>
  <c r="G1033" i="69"/>
  <c r="G1032" i="69"/>
  <c r="G1031" i="69"/>
  <c r="G1030" i="69"/>
  <c r="G1029" i="69"/>
  <c r="G1028" i="69"/>
  <c r="G1027" i="69"/>
  <c r="G1026" i="69"/>
  <c r="G1025" i="69"/>
  <c r="G1024" i="69"/>
  <c r="G1023" i="69"/>
  <c r="G1022" i="69"/>
  <c r="G1021" i="69"/>
  <c r="G1020" i="69"/>
  <c r="G1019" i="69"/>
  <c r="G1018" i="69"/>
  <c r="G1017" i="69"/>
  <c r="G1016" i="69"/>
  <c r="G1015" i="69"/>
  <c r="G1014" i="69"/>
  <c r="G1013" i="69"/>
  <c r="G1012" i="69"/>
  <c r="G1011" i="69"/>
  <c r="G1010" i="69"/>
  <c r="G1009" i="69"/>
  <c r="G1008" i="69"/>
  <c r="G1007" i="69"/>
  <c r="G1006" i="69"/>
  <c r="G1005" i="69"/>
  <c r="G1004" i="69"/>
  <c r="G1003" i="69"/>
  <c r="G1002" i="69"/>
  <c r="G1001" i="69"/>
  <c r="G1000" i="69"/>
  <c r="G999" i="69"/>
  <c r="G998" i="69"/>
  <c r="G997" i="69"/>
  <c r="G996" i="69"/>
  <c r="G995" i="69"/>
  <c r="G994" i="69"/>
  <c r="G993" i="69"/>
  <c r="G992" i="69"/>
  <c r="G991" i="69"/>
  <c r="G990" i="69"/>
  <c r="G989" i="69"/>
  <c r="G988" i="69"/>
  <c r="G987" i="69"/>
  <c r="G986" i="69"/>
  <c r="G985" i="69"/>
  <c r="G984" i="69"/>
  <c r="G983" i="69"/>
  <c r="G982" i="69"/>
  <c r="G981" i="69"/>
  <c r="G980" i="69"/>
  <c r="G979" i="69"/>
  <c r="G978" i="69"/>
  <c r="G977" i="69"/>
  <c r="G976" i="69"/>
  <c r="G975" i="69"/>
  <c r="G974" i="69"/>
  <c r="G973" i="69"/>
  <c r="G972" i="69"/>
  <c r="G971" i="69"/>
  <c r="G970" i="69"/>
  <c r="G969" i="69"/>
  <c r="G968" i="69"/>
  <c r="G967" i="69"/>
  <c r="G966" i="69"/>
  <c r="G965" i="69"/>
  <c r="G964" i="69"/>
  <c r="G963" i="69"/>
  <c r="G962" i="69"/>
  <c r="G961" i="69"/>
  <c r="G960" i="69"/>
  <c r="G959" i="69"/>
  <c r="G958" i="69"/>
  <c r="G957" i="69"/>
  <c r="G956" i="69"/>
  <c r="G955" i="69"/>
  <c r="G954" i="69"/>
  <c r="G953" i="69"/>
  <c r="G952" i="69"/>
  <c r="G951" i="69"/>
  <c r="G950" i="69"/>
  <c r="G949" i="69"/>
  <c r="G948" i="69"/>
  <c r="G947" i="69"/>
  <c r="G946" i="69"/>
  <c r="G945" i="69"/>
  <c r="G944" i="69"/>
  <c r="G943" i="69"/>
  <c r="G942" i="69"/>
  <c r="G941" i="69"/>
  <c r="G940" i="69"/>
  <c r="G939" i="69"/>
  <c r="G938" i="69"/>
  <c r="G937" i="69"/>
  <c r="G936" i="69"/>
  <c r="G935" i="69"/>
  <c r="G934" i="69"/>
  <c r="G933" i="69"/>
  <c r="G932" i="69"/>
  <c r="G931" i="69"/>
  <c r="G930" i="69"/>
  <c r="G929" i="69"/>
  <c r="G928" i="69"/>
  <c r="G927" i="69"/>
  <c r="G926" i="69"/>
  <c r="G925" i="69"/>
  <c r="G924" i="69"/>
  <c r="G923" i="69"/>
  <c r="G922" i="69"/>
  <c r="G921" i="69"/>
  <c r="G920" i="69"/>
  <c r="G919" i="69"/>
  <c r="G918" i="69"/>
  <c r="G917" i="69"/>
  <c r="G916" i="69"/>
  <c r="G915" i="69"/>
  <c r="G914" i="69"/>
  <c r="G913" i="69"/>
  <c r="G912" i="69"/>
  <c r="G911" i="69"/>
  <c r="G910" i="69"/>
  <c r="G909" i="69"/>
  <c r="G908" i="69"/>
  <c r="G907" i="69"/>
  <c r="G906" i="69"/>
  <c r="G905" i="69"/>
  <c r="G904" i="69"/>
  <c r="G903" i="69"/>
  <c r="G902" i="69"/>
  <c r="G901" i="69"/>
  <c r="G900" i="69"/>
  <c r="G899" i="69"/>
  <c r="G898" i="69"/>
  <c r="G897" i="69"/>
  <c r="G896" i="69"/>
  <c r="G895" i="69"/>
  <c r="G894" i="69"/>
  <c r="G893" i="69"/>
  <c r="G892" i="69"/>
  <c r="G891" i="69"/>
  <c r="G890" i="69"/>
  <c r="G889" i="69"/>
  <c r="G888" i="69"/>
  <c r="G887" i="69"/>
  <c r="G886" i="69"/>
  <c r="G885" i="69"/>
  <c r="G884" i="69"/>
  <c r="G883" i="69"/>
  <c r="G882" i="69"/>
  <c r="G881" i="69"/>
  <c r="G880" i="69"/>
  <c r="G879" i="69"/>
  <c r="G878" i="69"/>
  <c r="G877" i="69"/>
  <c r="G876" i="69"/>
  <c r="G875" i="69"/>
  <c r="G874" i="69"/>
  <c r="G873" i="69"/>
  <c r="G872" i="69"/>
  <c r="G871" i="69"/>
  <c r="G870" i="69"/>
  <c r="G869" i="69"/>
  <c r="G868" i="69"/>
  <c r="G867" i="69"/>
  <c r="G866" i="69"/>
  <c r="G865" i="69"/>
  <c r="G864" i="69"/>
  <c r="G863" i="69"/>
  <c r="G862" i="69"/>
  <c r="G861" i="69"/>
  <c r="G860" i="69"/>
  <c r="G859" i="69"/>
  <c r="G858" i="69"/>
  <c r="G857" i="69"/>
  <c r="G856" i="69"/>
  <c r="G855" i="69"/>
  <c r="G854" i="69"/>
  <c r="G853" i="69"/>
  <c r="G852" i="69"/>
  <c r="G851" i="69"/>
  <c r="G850" i="69"/>
  <c r="G849" i="69"/>
  <c r="G848" i="69"/>
  <c r="G847" i="69"/>
  <c r="G846" i="69"/>
  <c r="G845" i="69"/>
  <c r="G844" i="69"/>
  <c r="G843" i="69"/>
  <c r="G842" i="69"/>
  <c r="G841" i="69"/>
  <c r="G840" i="69"/>
  <c r="G839" i="69"/>
  <c r="G838" i="69"/>
  <c r="G837" i="69"/>
  <c r="G836" i="69"/>
  <c r="G835" i="69"/>
  <c r="G834" i="69"/>
  <c r="G833" i="69"/>
  <c r="G832" i="69"/>
  <c r="G831" i="69"/>
  <c r="G830" i="69"/>
  <c r="G829" i="69"/>
  <c r="G828" i="69"/>
  <c r="G827" i="69"/>
  <c r="G826" i="69"/>
  <c r="G825" i="69"/>
  <c r="G824" i="69"/>
  <c r="G823" i="69"/>
  <c r="G822" i="69"/>
  <c r="G821" i="69"/>
  <c r="G820" i="69"/>
  <c r="G819" i="69"/>
  <c r="G818" i="69"/>
  <c r="G817" i="69"/>
  <c r="G816" i="69"/>
  <c r="G815" i="69"/>
  <c r="G814" i="69"/>
  <c r="G813" i="69"/>
  <c r="G812" i="69"/>
  <c r="G811" i="69"/>
  <c r="G810" i="69"/>
  <c r="G809" i="69"/>
  <c r="G808" i="69"/>
  <c r="G807" i="69"/>
  <c r="G806" i="69"/>
  <c r="G805" i="69"/>
  <c r="G804" i="69"/>
  <c r="G803" i="69"/>
  <c r="G802" i="69"/>
  <c r="G801" i="69"/>
  <c r="G800" i="69"/>
  <c r="G799" i="69"/>
  <c r="G798" i="69"/>
  <c r="G797" i="69"/>
  <c r="G796" i="69"/>
  <c r="G795" i="69"/>
  <c r="G794" i="69"/>
  <c r="G793" i="69"/>
  <c r="G792" i="69"/>
  <c r="G791" i="69"/>
  <c r="G790" i="69"/>
  <c r="G789" i="69"/>
  <c r="G788" i="69"/>
  <c r="G787" i="69"/>
  <c r="G786" i="69"/>
  <c r="G785" i="69"/>
  <c r="G784" i="69"/>
  <c r="G783" i="69"/>
  <c r="G782" i="69"/>
  <c r="G781" i="69"/>
  <c r="G780" i="69"/>
  <c r="G779" i="69"/>
  <c r="G778" i="69"/>
  <c r="G777" i="69"/>
  <c r="G776" i="69"/>
  <c r="G775" i="69"/>
  <c r="G774" i="69"/>
  <c r="G773" i="69"/>
  <c r="G772" i="69"/>
  <c r="G771" i="69"/>
  <c r="G770" i="69"/>
  <c r="G769" i="69"/>
  <c r="G768" i="69"/>
  <c r="G767" i="69"/>
  <c r="G766" i="69"/>
  <c r="G765" i="69"/>
  <c r="G764" i="69"/>
  <c r="G763" i="69"/>
  <c r="G762" i="69"/>
  <c r="G761" i="69"/>
  <c r="G760" i="69"/>
  <c r="G759" i="69"/>
  <c r="G758" i="69"/>
  <c r="G757" i="69"/>
  <c r="G756" i="69"/>
  <c r="G755" i="69"/>
  <c r="G754" i="69"/>
  <c r="G753" i="69"/>
  <c r="G752" i="69"/>
  <c r="G751" i="69"/>
  <c r="G750" i="69"/>
  <c r="G749" i="69"/>
  <c r="G748" i="69"/>
  <c r="G747" i="69"/>
  <c r="G746" i="69"/>
  <c r="G745" i="69"/>
  <c r="G744" i="69"/>
  <c r="G743" i="69"/>
  <c r="G742" i="69"/>
  <c r="G741" i="69"/>
  <c r="G740" i="69"/>
  <c r="G739" i="69"/>
  <c r="G738" i="69"/>
  <c r="G737" i="69"/>
  <c r="G736" i="69"/>
  <c r="G735" i="69"/>
  <c r="G734" i="69"/>
  <c r="G733" i="69"/>
  <c r="G732" i="69"/>
  <c r="G731" i="69"/>
  <c r="G730" i="69"/>
  <c r="G729" i="69"/>
  <c r="G728" i="69"/>
  <c r="G727" i="69"/>
  <c r="G726" i="69"/>
  <c r="G725" i="69"/>
  <c r="G724" i="69"/>
  <c r="G723" i="69"/>
  <c r="G722" i="69"/>
  <c r="G721" i="69"/>
  <c r="G720" i="69"/>
  <c r="G719" i="69"/>
  <c r="G718" i="69"/>
  <c r="G717" i="69"/>
  <c r="G716" i="69"/>
  <c r="G715" i="69"/>
  <c r="G714" i="69"/>
  <c r="G713" i="69"/>
  <c r="G712" i="69"/>
  <c r="G711" i="69"/>
  <c r="G710" i="69"/>
  <c r="G709" i="69"/>
  <c r="G708" i="69"/>
  <c r="G707" i="69"/>
  <c r="G706" i="69"/>
  <c r="G705" i="69"/>
  <c r="G704" i="69"/>
  <c r="G703" i="69"/>
  <c r="G702" i="69"/>
  <c r="G701" i="69"/>
  <c r="G700" i="69"/>
  <c r="G699" i="69"/>
  <c r="G698" i="69"/>
  <c r="G697" i="69"/>
  <c r="G696" i="69"/>
  <c r="G695" i="69"/>
  <c r="G694" i="69"/>
  <c r="G693" i="69"/>
  <c r="G692" i="69"/>
  <c r="G691" i="69"/>
  <c r="G690" i="69"/>
  <c r="G689" i="69"/>
  <c r="G688" i="69"/>
  <c r="G687" i="69"/>
  <c r="G686" i="69"/>
  <c r="G685" i="69"/>
  <c r="G684" i="69"/>
  <c r="G683" i="69"/>
  <c r="G682" i="69"/>
  <c r="G681" i="69"/>
  <c r="G680" i="69"/>
  <c r="G679" i="69"/>
  <c r="G678" i="69"/>
  <c r="G677" i="69"/>
  <c r="G676" i="69"/>
  <c r="G675" i="69"/>
  <c r="G674" i="69"/>
  <c r="G673" i="69"/>
  <c r="G672" i="69"/>
  <c r="G671" i="69"/>
  <c r="G670" i="69"/>
  <c r="G669" i="69"/>
  <c r="G668" i="69"/>
  <c r="G667" i="69"/>
  <c r="G666" i="69"/>
  <c r="G665" i="69"/>
  <c r="G664" i="69"/>
  <c r="G663" i="69"/>
  <c r="G662" i="69"/>
  <c r="G661" i="69"/>
  <c r="G660" i="69"/>
  <c r="G659" i="69"/>
  <c r="G658" i="69"/>
  <c r="G657" i="69"/>
  <c r="G656" i="69"/>
  <c r="G655" i="69"/>
  <c r="G654" i="69"/>
  <c r="G653" i="69"/>
  <c r="G652" i="69"/>
  <c r="G651" i="69"/>
  <c r="G650" i="69"/>
  <c r="G649" i="69"/>
  <c r="G648" i="69"/>
  <c r="G647" i="69"/>
  <c r="G646" i="69"/>
  <c r="G645" i="69"/>
  <c r="G644" i="69"/>
  <c r="G643" i="69"/>
  <c r="G642" i="69"/>
  <c r="G641" i="69"/>
  <c r="G640" i="69"/>
  <c r="G639" i="69"/>
  <c r="G638" i="69"/>
  <c r="G637" i="69"/>
  <c r="G636" i="69"/>
  <c r="G635" i="69"/>
  <c r="G634" i="69"/>
  <c r="G633" i="69"/>
  <c r="G632" i="69"/>
  <c r="G631" i="69"/>
  <c r="G630" i="69"/>
  <c r="G629" i="69"/>
  <c r="G628" i="69"/>
  <c r="G627" i="69"/>
  <c r="G626" i="69"/>
  <c r="G625" i="69"/>
  <c r="G624" i="69"/>
  <c r="G623" i="69"/>
  <c r="G622" i="69"/>
  <c r="G621" i="69"/>
  <c r="G620" i="69"/>
  <c r="G619" i="69"/>
  <c r="G618" i="69"/>
  <c r="G617" i="69"/>
  <c r="G616" i="69"/>
  <c r="G615" i="69"/>
  <c r="G614" i="69"/>
  <c r="G613" i="69"/>
  <c r="G612" i="69"/>
  <c r="G611" i="69"/>
  <c r="G610" i="69"/>
  <c r="G609" i="69"/>
  <c r="G608" i="69"/>
  <c r="G607" i="69"/>
  <c r="G606" i="69"/>
  <c r="G605" i="69"/>
  <c r="G604" i="69"/>
  <c r="G603" i="69"/>
  <c r="G602" i="69"/>
  <c r="G601" i="69"/>
  <c r="G600" i="69"/>
  <c r="G599" i="69"/>
  <c r="G598" i="69"/>
  <c r="G597" i="69"/>
  <c r="G596" i="69"/>
  <c r="G595" i="69"/>
  <c r="G594" i="69"/>
  <c r="G593" i="69"/>
  <c r="G592" i="69"/>
  <c r="G591" i="69"/>
  <c r="G590" i="69"/>
  <c r="G589" i="69"/>
  <c r="G588" i="69"/>
  <c r="G587" i="69"/>
  <c r="G586" i="69"/>
  <c r="G585" i="69"/>
  <c r="G584" i="69"/>
  <c r="G583" i="69"/>
  <c r="G582" i="69"/>
  <c r="G581" i="69"/>
  <c r="G580" i="69"/>
  <c r="G579" i="69"/>
  <c r="G578" i="69"/>
  <c r="G577" i="69"/>
  <c r="G576" i="69"/>
  <c r="G575" i="69"/>
  <c r="G574" i="69"/>
  <c r="G573" i="69"/>
  <c r="G572" i="69"/>
  <c r="G571" i="69"/>
  <c r="G570" i="69"/>
  <c r="G569" i="69"/>
  <c r="G568" i="69"/>
  <c r="G567" i="69"/>
  <c r="G566" i="69"/>
  <c r="G565" i="69"/>
  <c r="G564" i="69"/>
  <c r="G563" i="69"/>
  <c r="G562" i="69"/>
  <c r="G561" i="69"/>
  <c r="G560" i="69"/>
  <c r="G559" i="69"/>
  <c r="G558" i="69"/>
  <c r="G557" i="69"/>
  <c r="G556" i="69"/>
  <c r="G555" i="69"/>
  <c r="G554" i="69"/>
  <c r="G553" i="69"/>
  <c r="G552" i="69"/>
  <c r="G551" i="69"/>
  <c r="G550" i="69"/>
  <c r="G549" i="69"/>
  <c r="G548" i="69"/>
  <c r="G547" i="69"/>
  <c r="G546" i="69"/>
  <c r="G545" i="69"/>
  <c r="G544" i="69"/>
  <c r="G543" i="69"/>
  <c r="G542" i="69"/>
  <c r="G541" i="69"/>
  <c r="G540" i="69"/>
  <c r="G539" i="69"/>
  <c r="G538" i="69"/>
  <c r="G537" i="69"/>
  <c r="G536" i="69"/>
  <c r="G535" i="69"/>
  <c r="G534" i="69"/>
  <c r="G533" i="69"/>
  <c r="G532" i="69"/>
  <c r="G531" i="69"/>
  <c r="G530" i="69"/>
  <c r="G529" i="69"/>
  <c r="G528" i="69"/>
  <c r="G527" i="69"/>
  <c r="G526" i="69"/>
  <c r="G525" i="69"/>
  <c r="G524" i="69"/>
  <c r="G523" i="69"/>
  <c r="G522" i="69"/>
  <c r="G521" i="69"/>
  <c r="G520" i="69"/>
  <c r="G519" i="69"/>
  <c r="G518" i="69"/>
  <c r="G517" i="69"/>
  <c r="G516" i="69"/>
  <c r="G515" i="69"/>
  <c r="G514" i="69"/>
  <c r="G513" i="69"/>
  <c r="G512" i="69"/>
  <c r="G511" i="69"/>
  <c r="G510" i="69"/>
  <c r="G509" i="69"/>
  <c r="G508" i="69"/>
  <c r="G507" i="69"/>
  <c r="G506" i="69"/>
  <c r="G505" i="69"/>
  <c r="G504" i="69"/>
  <c r="G503" i="69"/>
  <c r="G502" i="69"/>
  <c r="G501" i="69"/>
  <c r="G500" i="69"/>
  <c r="G499" i="69"/>
  <c r="G498" i="69"/>
  <c r="G497" i="69"/>
  <c r="G496" i="69"/>
  <c r="G495" i="69"/>
  <c r="G494" i="69"/>
  <c r="G493" i="69"/>
  <c r="G492" i="69"/>
  <c r="G491" i="69"/>
  <c r="G490" i="69"/>
  <c r="G489" i="69"/>
  <c r="G488" i="69"/>
  <c r="G487" i="69"/>
  <c r="G486" i="69"/>
  <c r="G485" i="69"/>
  <c r="G484" i="69"/>
  <c r="G483" i="69"/>
  <c r="G482" i="69"/>
  <c r="G481" i="69"/>
  <c r="G480" i="69"/>
  <c r="G479" i="69"/>
  <c r="G478" i="69"/>
  <c r="G477" i="69"/>
  <c r="G476" i="69"/>
  <c r="G475" i="69"/>
  <c r="G474" i="69"/>
  <c r="G473" i="69"/>
  <c r="G472" i="69"/>
  <c r="G471" i="69"/>
  <c r="G470" i="69"/>
  <c r="G469" i="69"/>
  <c r="G468" i="69"/>
  <c r="G467" i="69"/>
  <c r="G466" i="69"/>
  <c r="G465" i="69"/>
  <c r="G464" i="69"/>
  <c r="G463" i="69"/>
  <c r="G462" i="69"/>
  <c r="G461" i="69"/>
  <c r="G460" i="69"/>
  <c r="G459" i="69"/>
  <c r="G458" i="69"/>
  <c r="G457" i="69"/>
  <c r="G456" i="69"/>
  <c r="G455" i="69"/>
  <c r="G454" i="69"/>
  <c r="G453" i="69"/>
  <c r="G452" i="69"/>
  <c r="G451" i="69"/>
  <c r="G450" i="69"/>
  <c r="G449" i="69"/>
  <c r="G448" i="69"/>
  <c r="G447" i="69"/>
  <c r="G446" i="69"/>
  <c r="G445" i="69"/>
  <c r="G444" i="69"/>
  <c r="G443" i="69"/>
  <c r="G442" i="69"/>
  <c r="G441" i="69"/>
  <c r="G440" i="69"/>
  <c r="G439" i="69"/>
  <c r="G438" i="69"/>
  <c r="G437" i="69"/>
  <c r="G436" i="69"/>
  <c r="G435" i="69"/>
  <c r="G434" i="69"/>
  <c r="G433" i="69"/>
  <c r="G432" i="69"/>
  <c r="G431" i="69"/>
  <c r="G430" i="69"/>
  <c r="G429" i="69"/>
  <c r="G428" i="69"/>
  <c r="G427" i="69"/>
  <c r="G426" i="69"/>
  <c r="G425" i="69"/>
  <c r="G424" i="69"/>
  <c r="G423" i="69"/>
  <c r="G422" i="69"/>
  <c r="G421" i="69"/>
  <c r="G420" i="69"/>
  <c r="G419" i="69"/>
  <c r="G418" i="69"/>
  <c r="G417" i="69"/>
  <c r="G416" i="69"/>
  <c r="G415" i="69"/>
  <c r="G414" i="69"/>
  <c r="G413" i="69"/>
  <c r="G412" i="69"/>
  <c r="G411" i="69"/>
  <c r="G410" i="69"/>
  <c r="G409" i="69"/>
  <c r="G408" i="69"/>
  <c r="G407" i="69"/>
  <c r="G406" i="69"/>
  <c r="G405" i="69"/>
  <c r="G404" i="69"/>
  <c r="G403" i="69"/>
  <c r="G402" i="69"/>
  <c r="G401" i="69"/>
  <c r="G400" i="69"/>
  <c r="G399" i="69"/>
  <c r="G398" i="69"/>
  <c r="G397" i="69"/>
  <c r="G396" i="69"/>
  <c r="G395" i="69"/>
  <c r="G394" i="69"/>
  <c r="G393" i="69"/>
  <c r="G392" i="69"/>
  <c r="G391" i="69"/>
  <c r="G390" i="69"/>
  <c r="G389" i="69"/>
  <c r="G388" i="69"/>
  <c r="G387" i="69"/>
  <c r="G386" i="69"/>
  <c r="G385" i="69"/>
  <c r="G384" i="69"/>
  <c r="G383" i="69"/>
  <c r="G382" i="69"/>
  <c r="G381" i="69"/>
  <c r="G380" i="69"/>
  <c r="G379" i="69"/>
  <c r="G378" i="69"/>
  <c r="G377" i="69"/>
  <c r="G376" i="69"/>
  <c r="G375" i="69"/>
  <c r="G374" i="69"/>
  <c r="G373" i="69"/>
  <c r="G372" i="69"/>
  <c r="G371" i="69"/>
  <c r="G370" i="69"/>
  <c r="G369" i="69"/>
  <c r="G368" i="69"/>
  <c r="G367" i="69"/>
  <c r="G366" i="69"/>
  <c r="G365" i="69"/>
  <c r="G364" i="69"/>
  <c r="G363" i="69"/>
  <c r="G362" i="69"/>
  <c r="G361" i="69"/>
  <c r="G360" i="69"/>
  <c r="G359" i="69"/>
  <c r="G358" i="69"/>
  <c r="G357" i="69"/>
  <c r="G356" i="69"/>
  <c r="G355" i="69"/>
  <c r="G354" i="69"/>
  <c r="G353" i="69"/>
  <c r="G352" i="69"/>
  <c r="G351" i="69"/>
  <c r="G350" i="69"/>
  <c r="G349" i="69"/>
  <c r="G348" i="69"/>
  <c r="G347" i="69"/>
  <c r="G346" i="69"/>
  <c r="G345" i="69"/>
  <c r="G344" i="69"/>
  <c r="G343" i="69"/>
  <c r="G342" i="69"/>
  <c r="G341" i="69"/>
  <c r="G340" i="69"/>
  <c r="G339" i="69"/>
  <c r="G338" i="69"/>
  <c r="G337" i="69"/>
  <c r="G336" i="69"/>
  <c r="G335" i="69"/>
  <c r="G334" i="69"/>
  <c r="G333" i="69"/>
  <c r="G332" i="69"/>
  <c r="G331" i="69"/>
  <c r="G330" i="69"/>
  <c r="G329" i="69"/>
  <c r="G328" i="69"/>
  <c r="G327" i="69"/>
  <c r="G326" i="69"/>
  <c r="G325" i="69"/>
  <c r="G324" i="69"/>
  <c r="G323" i="69"/>
  <c r="G322" i="69"/>
  <c r="G321" i="69"/>
  <c r="G320" i="69"/>
  <c r="G319" i="69"/>
  <c r="G318" i="69"/>
  <c r="G317" i="69"/>
  <c r="G316" i="69"/>
  <c r="G315" i="69"/>
  <c r="G314" i="69"/>
  <c r="G313" i="69"/>
  <c r="G312" i="69"/>
  <c r="G311" i="69"/>
  <c r="G310" i="69"/>
  <c r="G309" i="69"/>
  <c r="G308" i="69"/>
  <c r="G307" i="69"/>
  <c r="G306" i="69"/>
  <c r="G305" i="69"/>
  <c r="G304" i="69"/>
  <c r="G303" i="69"/>
  <c r="G302" i="69"/>
  <c r="G301" i="69"/>
  <c r="G300" i="69"/>
  <c r="G299" i="69"/>
  <c r="G298" i="69"/>
  <c r="G297" i="69"/>
  <c r="G296" i="69"/>
  <c r="G295" i="69"/>
  <c r="G294" i="69"/>
  <c r="G293" i="69"/>
  <c r="G292" i="69"/>
  <c r="G291" i="69"/>
  <c r="G290" i="69"/>
  <c r="G289" i="69"/>
  <c r="G288" i="69"/>
  <c r="G287" i="69"/>
  <c r="G286" i="69"/>
  <c r="G285" i="69"/>
  <c r="G284" i="69"/>
  <c r="G283" i="69"/>
  <c r="G282" i="69"/>
  <c r="G281" i="69"/>
  <c r="G280" i="69"/>
  <c r="G279" i="69"/>
  <c r="G278" i="69"/>
  <c r="G277" i="69"/>
  <c r="G276" i="69"/>
  <c r="G275" i="69"/>
  <c r="G274" i="69"/>
  <c r="G273" i="69"/>
  <c r="G272" i="69"/>
  <c r="G271" i="69"/>
  <c r="G270" i="69"/>
  <c r="G269" i="69"/>
  <c r="G268" i="69"/>
  <c r="G267" i="69"/>
  <c r="G266" i="69"/>
  <c r="G265" i="69"/>
  <c r="G264" i="69"/>
  <c r="G263" i="69"/>
  <c r="G262" i="69"/>
  <c r="G261" i="69"/>
  <c r="G260" i="69"/>
  <c r="G259" i="69"/>
  <c r="G258" i="69"/>
  <c r="G257" i="69"/>
  <c r="G256" i="69"/>
  <c r="G255" i="69"/>
  <c r="G254" i="69"/>
  <c r="G253" i="69"/>
  <c r="G252" i="69"/>
  <c r="G251" i="69"/>
  <c r="G250" i="69"/>
  <c r="G249" i="69"/>
  <c r="G248" i="69"/>
  <c r="G247" i="69"/>
  <c r="G246" i="69"/>
  <c r="G245" i="69"/>
  <c r="G244" i="69"/>
  <c r="G243" i="69"/>
  <c r="G242" i="69"/>
  <c r="G241" i="69"/>
  <c r="G240" i="69"/>
  <c r="G239" i="69"/>
  <c r="G238" i="69"/>
  <c r="G237" i="69"/>
  <c r="G236" i="69"/>
  <c r="G235" i="69"/>
  <c r="G234" i="69"/>
  <c r="G233" i="69"/>
  <c r="G232" i="69"/>
  <c r="G231" i="69"/>
  <c r="G230" i="69"/>
  <c r="G229" i="69"/>
  <c r="G228" i="69"/>
  <c r="G227" i="69"/>
  <c r="G226" i="69"/>
  <c r="G225" i="69"/>
  <c r="G224" i="69"/>
  <c r="G223" i="69"/>
  <c r="G222" i="69"/>
  <c r="G221" i="69"/>
  <c r="G220" i="69"/>
  <c r="G219" i="69"/>
  <c r="G218" i="69"/>
  <c r="G217" i="69"/>
  <c r="G216" i="69"/>
  <c r="G215" i="69"/>
  <c r="G214" i="69"/>
  <c r="G213" i="69"/>
  <c r="G212" i="69"/>
  <c r="G211" i="69"/>
  <c r="G210" i="69"/>
  <c r="G209" i="69"/>
  <c r="G208" i="69"/>
  <c r="G207" i="69"/>
  <c r="G206" i="69"/>
  <c r="G205" i="69"/>
  <c r="G204" i="69"/>
  <c r="G203" i="69"/>
  <c r="G202" i="69"/>
  <c r="G201" i="69"/>
  <c r="G200" i="69"/>
  <c r="G199" i="69"/>
  <c r="G198" i="69"/>
  <c r="G197" i="69"/>
  <c r="G196" i="69"/>
  <c r="G195" i="69"/>
  <c r="G194" i="69"/>
  <c r="G193" i="69"/>
  <c r="G192" i="69"/>
  <c r="G191" i="69"/>
  <c r="G190" i="69"/>
  <c r="G189" i="69"/>
  <c r="G188" i="69"/>
  <c r="G187" i="69"/>
  <c r="G186" i="69"/>
  <c r="G185" i="69"/>
  <c r="G184" i="69"/>
  <c r="G183" i="69"/>
  <c r="G182" i="69"/>
  <c r="G181" i="69"/>
  <c r="G180" i="69"/>
  <c r="G179" i="69"/>
  <c r="G178" i="69"/>
  <c r="G177" i="69"/>
  <c r="G176" i="69"/>
  <c r="G175" i="69"/>
  <c r="G174" i="69"/>
  <c r="G173" i="69"/>
  <c r="G172" i="69"/>
  <c r="G171" i="69"/>
  <c r="G170" i="69"/>
  <c r="G169" i="69"/>
  <c r="G168" i="69"/>
  <c r="G167" i="69"/>
  <c r="G166" i="69"/>
  <c r="G165" i="69"/>
  <c r="G164" i="69"/>
  <c r="G163" i="69"/>
  <c r="G162" i="69"/>
  <c r="G161" i="69"/>
  <c r="G160" i="69"/>
  <c r="G159" i="69"/>
  <c r="G158" i="69"/>
  <c r="G157" i="69"/>
  <c r="G156" i="69"/>
  <c r="G155" i="69"/>
  <c r="G154" i="69"/>
  <c r="G153" i="69"/>
  <c r="G152" i="69"/>
  <c r="G151" i="69"/>
  <c r="G150" i="69"/>
  <c r="G149" i="69"/>
  <c r="G148" i="69"/>
  <c r="G147" i="69"/>
  <c r="G146" i="69"/>
  <c r="G145" i="69"/>
  <c r="G144" i="69"/>
  <c r="G143" i="69"/>
  <c r="G142" i="69"/>
  <c r="G141" i="69"/>
  <c r="G140" i="69"/>
  <c r="G139" i="69"/>
  <c r="G138" i="69"/>
  <c r="G137" i="69"/>
  <c r="G136" i="69"/>
  <c r="G135" i="69"/>
  <c r="G134" i="69"/>
  <c r="G133" i="69"/>
  <c r="G132" i="69"/>
  <c r="G131" i="69"/>
  <c r="G130" i="69"/>
  <c r="G129" i="69"/>
  <c r="G128" i="69"/>
  <c r="G127" i="69"/>
  <c r="G126" i="69"/>
  <c r="G125" i="69"/>
  <c r="G124" i="69"/>
  <c r="G123" i="69"/>
  <c r="G122" i="69"/>
  <c r="G121" i="69"/>
  <c r="G120" i="69"/>
  <c r="G119" i="69"/>
  <c r="G118" i="69"/>
  <c r="G117" i="69"/>
  <c r="G116" i="69"/>
  <c r="G115" i="69"/>
  <c r="G114" i="69"/>
  <c r="G113" i="69"/>
  <c r="G112" i="69"/>
  <c r="G111" i="69"/>
  <c r="G110" i="69"/>
  <c r="G109" i="69"/>
  <c r="G108" i="69"/>
  <c r="G107" i="69"/>
  <c r="G106" i="69"/>
  <c r="G105" i="69"/>
  <c r="G104" i="69"/>
  <c r="G103" i="69"/>
  <c r="G102" i="69"/>
  <c r="G101" i="69"/>
  <c r="G100" i="69"/>
  <c r="G99" i="69"/>
  <c r="G98" i="69"/>
  <c r="G97" i="69"/>
  <c r="G96" i="69"/>
  <c r="G95" i="69"/>
  <c r="G94" i="69"/>
  <c r="G93" i="69"/>
  <c r="G92" i="69"/>
  <c r="G91" i="69"/>
  <c r="G90" i="69"/>
  <c r="G89" i="69"/>
  <c r="G88" i="69"/>
  <c r="G87" i="69"/>
  <c r="G86" i="69"/>
  <c r="G85" i="69"/>
  <c r="G84" i="69"/>
  <c r="G83" i="69"/>
  <c r="G82" i="69"/>
  <c r="G81" i="69"/>
  <c r="G80" i="69"/>
  <c r="G79" i="69"/>
  <c r="G78" i="69"/>
  <c r="G77" i="69"/>
  <c r="G76" i="69"/>
  <c r="G75" i="69"/>
  <c r="G74" i="69"/>
  <c r="G73" i="69"/>
  <c r="G72" i="69"/>
  <c r="G71" i="69"/>
  <c r="G70" i="69"/>
  <c r="G69" i="69"/>
  <c r="G68" i="69"/>
  <c r="G67" i="69"/>
  <c r="G66" i="69"/>
  <c r="G65" i="69"/>
  <c r="G64" i="69"/>
  <c r="G63" i="69"/>
  <c r="G62" i="69"/>
  <c r="G61" i="69"/>
  <c r="G60" i="69"/>
  <c r="G59" i="69"/>
  <c r="G58" i="69"/>
  <c r="G57" i="69"/>
  <c r="G56" i="69"/>
  <c r="G55" i="69"/>
  <c r="G54" i="69"/>
  <c r="G53" i="69"/>
  <c r="G52" i="69"/>
  <c r="G51" i="69"/>
  <c r="G50" i="69"/>
  <c r="G49" i="69"/>
  <c r="G48" i="69"/>
  <c r="G47" i="69"/>
  <c r="G46" i="69"/>
  <c r="G45" i="69"/>
  <c r="G44" i="69"/>
  <c r="G43" i="69"/>
  <c r="G42" i="69"/>
  <c r="G41" i="69"/>
  <c r="G40" i="69"/>
  <c r="G39" i="69"/>
  <c r="G38" i="69"/>
  <c r="G37" i="69"/>
  <c r="G36" i="69"/>
  <c r="G35" i="69"/>
  <c r="G34" i="69"/>
  <c r="G33" i="69"/>
  <c r="G32" i="69"/>
  <c r="G31" i="69"/>
  <c r="G30" i="69"/>
  <c r="G29" i="69"/>
  <c r="G28" i="69"/>
  <c r="G27" i="69"/>
  <c r="G26" i="69"/>
  <c r="G25" i="69"/>
  <c r="G24" i="69"/>
  <c r="G23" i="69"/>
  <c r="G22" i="69"/>
  <c r="G21" i="69"/>
  <c r="G20" i="69"/>
  <c r="G19" i="69"/>
  <c r="G18" i="69"/>
  <c r="G17" i="69"/>
  <c r="G16" i="69"/>
  <c r="G15" i="69"/>
  <c r="G14" i="69"/>
  <c r="G13" i="69"/>
  <c r="G12" i="69"/>
  <c r="G11" i="69"/>
  <c r="G10" i="69"/>
  <c r="G9" i="69"/>
  <c r="H48" i="40" l="1"/>
  <c r="I46" i="40"/>
  <c r="I20" i="40"/>
  <c r="D57" i="67"/>
  <c r="D58" i="67" s="1"/>
  <c r="D59" i="67" s="1"/>
  <c r="D60" i="67" s="1"/>
  <c r="D61" i="67" s="1"/>
  <c r="D62" i="67" s="1"/>
  <c r="D63" i="67" s="1"/>
  <c r="D64" i="67" s="1"/>
  <c r="F55" i="67"/>
  <c r="G55" i="67" s="1"/>
  <c r="H55" i="67" s="1"/>
  <c r="I55" i="67" s="1"/>
  <c r="J55" i="67" s="1"/>
  <c r="K55" i="67" s="1"/>
  <c r="B39" i="67"/>
  <c r="B40" i="67" s="1"/>
  <c r="B41" i="67" s="1"/>
  <c r="B42" i="67" s="1"/>
  <c r="B43" i="67" s="1"/>
  <c r="B44" i="67" s="1"/>
  <c r="B45" i="67" s="1"/>
  <c r="B46" i="67" s="1"/>
  <c r="G37" i="67"/>
  <c r="H37" i="67" s="1"/>
  <c r="I37" i="67" s="1"/>
  <c r="J37" i="67" s="1"/>
  <c r="K37" i="67" s="1"/>
  <c r="L37" i="67" s="1"/>
  <c r="C27" i="67"/>
  <c r="C25" i="67"/>
  <c r="C24" i="67"/>
  <c r="C26" i="67" s="1"/>
  <c r="C28" i="67" s="1"/>
  <c r="C27" i="66"/>
  <c r="C25" i="66"/>
  <c r="C24" i="66"/>
  <c r="C26" i="66" s="1"/>
  <c r="C28" i="66" s="1"/>
  <c r="C27" i="65"/>
  <c r="C24" i="65"/>
  <c r="C26" i="65" s="1"/>
  <c r="J46" i="40" l="1"/>
  <c r="L19" i="40"/>
  <c r="C28" i="65"/>
  <c r="B2" i="49"/>
  <c r="K46" i="40" l="1"/>
  <c r="L30" i="40"/>
  <c r="I48" i="40"/>
  <c r="J48" i="40"/>
  <c r="K20" i="40"/>
  <c r="L26" i="40"/>
  <c r="L27" i="40" s="1"/>
  <c r="M19" i="40"/>
  <c r="B2" i="53"/>
  <c r="B2" i="50"/>
  <c r="B96" i="35"/>
  <c r="B95" i="35"/>
  <c r="B94" i="35"/>
  <c r="B93" i="35"/>
  <c r="B2" i="37"/>
  <c r="K48" i="40" l="1"/>
  <c r="L20" i="40"/>
  <c r="M18" i="40"/>
  <c r="M23" i="40"/>
  <c r="M26" i="40" s="1"/>
  <c r="M27" i="40" s="1"/>
  <c r="M30" i="40"/>
  <c r="L46" i="40"/>
  <c r="M46" i="40" l="1"/>
  <c r="N26" i="40"/>
  <c r="M20" i="40"/>
  <c r="P19" i="40"/>
  <c r="M48" i="40" l="1"/>
  <c r="N20" i="40"/>
  <c r="L48" i="40"/>
  <c r="O26" i="40"/>
  <c r="O27" i="40" s="1"/>
  <c r="N46" i="40"/>
  <c r="Q19" i="40"/>
  <c r="P23" i="40" l="1"/>
  <c r="P26" i="40" s="1"/>
  <c r="P27" i="40" s="1"/>
  <c r="O46" i="40"/>
  <c r="P30" i="40"/>
  <c r="P18" i="40"/>
  <c r="O20" i="40"/>
  <c r="O48" i="40" l="1"/>
  <c r="Q30" i="40"/>
  <c r="P46" i="40"/>
  <c r="Q18" i="40"/>
  <c r="P20" i="40"/>
  <c r="N48" i="40"/>
  <c r="Q23" i="40"/>
  <c r="Q26" i="40" s="1"/>
  <c r="Q27" i="40" s="1"/>
  <c r="R26" i="40" l="1"/>
  <c r="R27" i="40" s="1"/>
  <c r="Q20" i="40"/>
  <c r="Q46" i="40"/>
  <c r="Q48" i="40" l="1"/>
  <c r="R46" i="40"/>
  <c r="R20" i="40"/>
  <c r="P48" i="40"/>
  <c r="R48" i="40" l="1"/>
  <c r="B16"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4" authorId="0" shapeId="0" xr:uid="{015DA3A9-6C8B-48E4-90FA-85E87BF12014}">
      <text>
        <r>
          <rPr>
            <b/>
            <sz val="9"/>
            <color indexed="81"/>
            <rFont val="Tahoma"/>
            <family val="2"/>
          </rPr>
          <t xml:space="preserve">This is an input cell.
</t>
        </r>
        <r>
          <rPr>
            <i/>
            <sz val="9"/>
            <color indexed="81"/>
            <rFont val="Tahoma"/>
            <family val="2"/>
          </rPr>
          <t>(the blue numbers are inputs)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10" authorId="0" shapeId="0" xr:uid="{F39CBB71-204E-4935-89AE-BE9DC75FB4B2}">
      <text>
        <r>
          <rPr>
            <sz val="9"/>
            <color indexed="81"/>
            <rFont val="Tahoma"/>
            <family val="2"/>
          </rPr>
          <t xml:space="preserve">all should be lowercase
</t>
        </r>
        <r>
          <rPr>
            <b/>
            <sz val="9"/>
            <color indexed="81"/>
            <rFont val="Tahoma"/>
            <family val="2"/>
          </rPr>
          <t>firstname_lastname@gmail.com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<sst xmlns="http://schemas.openxmlformats.org/spreadsheetml/2006/main" count="9758" uniqueCount="2720">
  <si>
    <t>Content</t>
  </si>
  <si>
    <t>1 .</t>
  </si>
  <si>
    <t>2 .</t>
  </si>
  <si>
    <t>3 .</t>
  </si>
  <si>
    <t>4 .</t>
  </si>
  <si>
    <t>5 .</t>
  </si>
  <si>
    <t>Dazzed</t>
  </si>
  <si>
    <t>Smooth</t>
  </si>
  <si>
    <t>Mastered</t>
  </si>
  <si>
    <t>IF logical tests</t>
  </si>
  <si>
    <t>AND, OR, and NOT functions with IF</t>
  </si>
  <si>
    <t>Using IFS for multiple conditions</t>
  </si>
  <si>
    <t>Extracting specific data with the LEFT,RIGHT and MID functions</t>
  </si>
  <si>
    <t>TRIM and LEN</t>
  </si>
  <si>
    <t>x</t>
  </si>
  <si>
    <t>Bonus of 500 is paid to Full Time Employees</t>
  </si>
  <si>
    <t>Activity</t>
  </si>
  <si>
    <t>Bonus of 15% of salary is paid to employees whose salary is more than 6500</t>
  </si>
  <si>
    <t>Bonus of GHS 5,000 is paid to employees who are not on contract</t>
  </si>
  <si>
    <t>Finex HR Data</t>
  </si>
  <si>
    <t>Employee Name</t>
  </si>
  <si>
    <t>Job Rating</t>
  </si>
  <si>
    <t>Salary</t>
  </si>
  <si>
    <t>Francis Mensah</t>
  </si>
  <si>
    <t>Ebenezer Darko</t>
  </si>
  <si>
    <t>Full Time</t>
  </si>
  <si>
    <t>Godred Gyimah</t>
  </si>
  <si>
    <t>Contract</t>
  </si>
  <si>
    <t>Emmanuel Kwashie</t>
  </si>
  <si>
    <t>Francisca Obeng</t>
  </si>
  <si>
    <t>Patricia Narh</t>
  </si>
  <si>
    <t>Desmond Boateng</t>
  </si>
  <si>
    <t>Okyere Mintah</t>
  </si>
  <si>
    <t>Priscilla Mintah</t>
  </si>
  <si>
    <t>Elikem Kobla</t>
  </si>
  <si>
    <t>Justice Nyamekye</t>
  </si>
  <si>
    <t>Bridget Okyere</t>
  </si>
  <si>
    <t>Cecilia Esi</t>
  </si>
  <si>
    <t>Michael Gyasi</t>
  </si>
  <si>
    <t>Staff ID</t>
  </si>
  <si>
    <t>Fx001</t>
  </si>
  <si>
    <t>Fx002</t>
  </si>
  <si>
    <t>Fx003</t>
  </si>
  <si>
    <t>Fx004</t>
  </si>
  <si>
    <t>Fx005</t>
  </si>
  <si>
    <t>Fx006</t>
  </si>
  <si>
    <t>Fx007</t>
  </si>
  <si>
    <t>Fx008</t>
  </si>
  <si>
    <t>Fx009</t>
  </si>
  <si>
    <t>Fx010</t>
  </si>
  <si>
    <t>Fx011</t>
  </si>
  <si>
    <t>Fx012</t>
  </si>
  <si>
    <t>Fx013</t>
  </si>
  <si>
    <t>Fx014</t>
  </si>
  <si>
    <t>Fx015</t>
  </si>
  <si>
    <t>Fx016</t>
  </si>
  <si>
    <t>Fx017</t>
  </si>
  <si>
    <t>Fx018</t>
  </si>
  <si>
    <t>Fx019</t>
  </si>
  <si>
    <t>Fx020</t>
  </si>
  <si>
    <t>Fx021</t>
  </si>
  <si>
    <t>Fx022</t>
  </si>
  <si>
    <t>Fx023</t>
  </si>
  <si>
    <t>Fx024</t>
  </si>
  <si>
    <t>Fx025</t>
  </si>
  <si>
    <t>Fx026</t>
  </si>
  <si>
    <t>Fx027</t>
  </si>
  <si>
    <t>Fx028</t>
  </si>
  <si>
    <t>Fx029</t>
  </si>
  <si>
    <t>Fx030</t>
  </si>
  <si>
    <t>Fx031</t>
  </si>
  <si>
    <t>Fx032</t>
  </si>
  <si>
    <t>Fx033</t>
  </si>
  <si>
    <t>Fx034</t>
  </si>
  <si>
    <t>Fx035</t>
  </si>
  <si>
    <t>Date Employed</t>
  </si>
  <si>
    <t>Years in Service</t>
  </si>
  <si>
    <t>Employment Type</t>
  </si>
  <si>
    <t>Part Time</t>
  </si>
  <si>
    <t>Elorm Nartey</t>
  </si>
  <si>
    <t>Peter Ankoma</t>
  </si>
  <si>
    <t>Lovelyn Bentil</t>
  </si>
  <si>
    <t>Osei Bonsu</t>
  </si>
  <si>
    <t>Selorm Addo</t>
  </si>
  <si>
    <t>Michael Bamfo</t>
  </si>
  <si>
    <t>Ernestina Darko</t>
  </si>
  <si>
    <t>Krobo Edusei</t>
  </si>
  <si>
    <t>Martina Mensah</t>
  </si>
  <si>
    <t>Akua Boatemaa</t>
  </si>
  <si>
    <t>Tetteyfio Akuyoo</t>
  </si>
  <si>
    <t>Antwi Frimpong</t>
  </si>
  <si>
    <t>Abdul Rawuf</t>
  </si>
  <si>
    <t>Nana Yaa</t>
  </si>
  <si>
    <t>Owusu Sekyere</t>
  </si>
  <si>
    <t>Erica Ntiamoah</t>
  </si>
  <si>
    <t>Christopher Bruce</t>
  </si>
  <si>
    <t>Thomas Asante</t>
  </si>
  <si>
    <t>Adams Grant</t>
  </si>
  <si>
    <t>Ernestina Cofie</t>
  </si>
  <si>
    <t>Ebenezer Doku</t>
  </si>
  <si>
    <t>I LOVE FINEX SEASON 6</t>
  </si>
  <si>
    <t>yvonne</t>
  </si>
  <si>
    <t>Amma</t>
  </si>
  <si>
    <t xml:space="preserve">   yvonne    Amma   </t>
  </si>
  <si>
    <t>Complete the following tasks</t>
  </si>
  <si>
    <t>Result</t>
  </si>
  <si>
    <t>Extract the first four letters from the name in cell B9</t>
  </si>
  <si>
    <t>Extract last three letters from name the in cell C9</t>
  </si>
  <si>
    <r>
      <t xml:space="preserve">Extract </t>
    </r>
    <r>
      <rPr>
        <b/>
        <sz val="10"/>
        <color rgb="FFFF0000"/>
        <rFont val="Segoe UI"/>
        <family val="2"/>
      </rPr>
      <t>on</t>
    </r>
    <r>
      <rPr>
        <sz val="10"/>
        <rFont val="Segoe UI"/>
        <family val="2"/>
      </rPr>
      <t xml:space="preserve"> from the name in cell B9</t>
    </r>
  </si>
  <si>
    <t>Combine the names in column B9 and C9 with a Function</t>
  </si>
  <si>
    <t>Combine the names in column B9 and C9 without a Function</t>
  </si>
  <si>
    <t>How many characters are there in the name in D9?</t>
  </si>
  <si>
    <t>Remove the spaces from the name in cell D9</t>
  </si>
  <si>
    <t>How many characters are there in the name in C18?</t>
  </si>
  <si>
    <t>What is the number of spaces in cell D9?</t>
  </si>
  <si>
    <t>Change the name in C18 to lower case</t>
  </si>
  <si>
    <t>Change the name in C21 to upper case</t>
  </si>
  <si>
    <t>Change name in C22 to proper case</t>
  </si>
  <si>
    <t>Find the position of the space in the name in cell C18</t>
  </si>
  <si>
    <t>Find the postion of the first "a" ( case sensitive) in the name in cell D9</t>
  </si>
  <si>
    <t>Find the postion of the first "a" (not case sensitive) in name in D9</t>
  </si>
  <si>
    <t>Repeat "|", ten times</t>
  </si>
  <si>
    <t>Example</t>
  </si>
  <si>
    <t>Invoice#</t>
  </si>
  <si>
    <t>Full Name</t>
  </si>
  <si>
    <t>Invoice Left part</t>
  </si>
  <si>
    <t>Invoice Middle part</t>
  </si>
  <si>
    <t>Invoice Right part</t>
  </si>
  <si>
    <t>Remove unwanted spaces</t>
  </si>
  <si>
    <t>Lower Case</t>
  </si>
  <si>
    <t>Proper Case</t>
  </si>
  <si>
    <t>Capitalised trimmed name</t>
  </si>
  <si>
    <t>Number of char in trimmed name</t>
  </si>
  <si>
    <t>Position of space</t>
  </si>
  <si>
    <t>1st 2 characters of lastname</t>
  </si>
  <si>
    <t>Extract FirstName</t>
  </si>
  <si>
    <t>Extract LastName</t>
  </si>
  <si>
    <t>Email Address</t>
  </si>
  <si>
    <t>SD/1090/FR</t>
  </si>
  <si>
    <t xml:space="preserve">   fRAncis      menSAH</t>
  </si>
  <si>
    <t>SD</t>
  </si>
  <si>
    <t>1090</t>
  </si>
  <si>
    <t>FR</t>
  </si>
  <si>
    <t>fRAncis menSAH</t>
  </si>
  <si>
    <t>francis mensah</t>
  </si>
  <si>
    <t>FRANCIS MENSAH</t>
  </si>
  <si>
    <t>ME</t>
  </si>
  <si>
    <t>FRANCIS</t>
  </si>
  <si>
    <t>MENSAH</t>
  </si>
  <si>
    <t>francis_mensah@gmail.com</t>
  </si>
  <si>
    <t>1. FlashFill</t>
  </si>
  <si>
    <t>2. Text-to-column</t>
  </si>
  <si>
    <t>3. Functions</t>
  </si>
  <si>
    <t>SD/1096/EB</t>
  </si>
  <si>
    <t>ebenezer dARko</t>
  </si>
  <si>
    <t>SD/1050/GO</t>
  </si>
  <si>
    <t xml:space="preserve">Godred Gyimah       </t>
  </si>
  <si>
    <t>SD/1041/EM</t>
  </si>
  <si>
    <t xml:space="preserve">        Emmanuel KWAShie</t>
  </si>
  <si>
    <t>RT/1042/FR</t>
  </si>
  <si>
    <t>Francisca obenG</t>
  </si>
  <si>
    <t>RT/1055/PA</t>
  </si>
  <si>
    <t>Patricia        NArh</t>
  </si>
  <si>
    <t>PN/1068/DE</t>
  </si>
  <si>
    <t xml:space="preserve">    desmond      BoatEng      </t>
  </si>
  <si>
    <t>SD/1011/OK</t>
  </si>
  <si>
    <t>Okyere      MiNTah</t>
  </si>
  <si>
    <t>JV/1010/PR</t>
  </si>
  <si>
    <t xml:space="preserve">Priscilla Mintah        </t>
  </si>
  <si>
    <t>RT/1037/EL</t>
  </si>
  <si>
    <t>elikem koBLa</t>
  </si>
  <si>
    <t>JV/1024/JU</t>
  </si>
  <si>
    <t>justice nyaMEkye</t>
  </si>
  <si>
    <t>PN/1048/BR</t>
  </si>
  <si>
    <t>JV/1066/CE</t>
  </si>
  <si>
    <t xml:space="preserve">      CEcilia esi</t>
  </si>
  <si>
    <t>SD/1043/MI</t>
  </si>
  <si>
    <t>Michael GyaSI</t>
  </si>
  <si>
    <t>RT/1008/EL</t>
  </si>
  <si>
    <t xml:space="preserve">       EloRm Nartey</t>
  </si>
  <si>
    <t>RT/1012/PE</t>
  </si>
  <si>
    <t>peter ankOma</t>
  </si>
  <si>
    <t>RT/1025/LO</t>
  </si>
  <si>
    <t>lovelyn        Bentil</t>
  </si>
  <si>
    <t>PN/1076/OS</t>
  </si>
  <si>
    <t xml:space="preserve">Osei Bonsu         </t>
  </si>
  <si>
    <t>SD/1080/SE</t>
  </si>
  <si>
    <t xml:space="preserve">SeloRm Addo      </t>
  </si>
  <si>
    <t>JV/1025/MI</t>
  </si>
  <si>
    <t>michael Bamfo</t>
  </si>
  <si>
    <t>SD/1014/ER</t>
  </si>
  <si>
    <t xml:space="preserve">     Ernestina dArko</t>
  </si>
  <si>
    <t>PN/1072/KR</t>
  </si>
  <si>
    <t>PN/1076/MA</t>
  </si>
  <si>
    <t>JV/1001/AK</t>
  </si>
  <si>
    <t>Akua BOAtemaa</t>
  </si>
  <si>
    <t>PN/1025/TE</t>
  </si>
  <si>
    <t>tetteyfio     Akuyoo</t>
  </si>
  <si>
    <t>SD/1034/AN</t>
  </si>
  <si>
    <t>antwi Frimpong</t>
  </si>
  <si>
    <t>SD/1016/AB</t>
  </si>
  <si>
    <t>Abdul rawUf</t>
  </si>
  <si>
    <t>PN/1096/NA</t>
  </si>
  <si>
    <t>Nana    yaa</t>
  </si>
  <si>
    <t>JV/1019/OW</t>
  </si>
  <si>
    <t>owuSu      sekyere</t>
  </si>
  <si>
    <t>SD/1011/ER</t>
  </si>
  <si>
    <t xml:space="preserve">      erica Ntiamoah</t>
  </si>
  <si>
    <t>PN/1020/CH</t>
  </si>
  <si>
    <t>Christopher      brucE</t>
  </si>
  <si>
    <t>PN/1037/TH</t>
  </si>
  <si>
    <t>thomas Asante</t>
  </si>
  <si>
    <t>RT/1083/AD</t>
  </si>
  <si>
    <t>Adams grANT</t>
  </si>
  <si>
    <t>PN/1066/ER</t>
  </si>
  <si>
    <t xml:space="preserve">Ernestina COFIE      </t>
  </si>
  <si>
    <t>RT/1073/EB</t>
  </si>
  <si>
    <t xml:space="preserve">       Ebenezer doKu</t>
  </si>
  <si>
    <t>Activity 1</t>
  </si>
  <si>
    <t>Activity 2</t>
  </si>
  <si>
    <t>Activity 3</t>
  </si>
  <si>
    <t>Quantity</t>
  </si>
  <si>
    <t>Commission:</t>
  </si>
  <si>
    <t>Sales Agent</t>
  </si>
  <si>
    <t>Selling Price</t>
  </si>
  <si>
    <t>Sales</t>
  </si>
  <si>
    <t>Commission</t>
  </si>
  <si>
    <t>Godfred Gyimah</t>
  </si>
  <si>
    <t>Item #</t>
  </si>
  <si>
    <t>Allocation --- by Department</t>
  </si>
  <si>
    <t>Dept 1</t>
  </si>
  <si>
    <t>Dept 2</t>
  </si>
  <si>
    <t>Dept 3</t>
  </si>
  <si>
    <t>Dept 4</t>
  </si>
  <si>
    <t>Dept 5</t>
  </si>
  <si>
    <t>Products</t>
  </si>
  <si>
    <t>Calculate Product cost allocation by Department</t>
  </si>
  <si>
    <t>Product 1</t>
  </si>
  <si>
    <t>Product 2</t>
  </si>
  <si>
    <t>Product 3</t>
  </si>
  <si>
    <t>Product 4</t>
  </si>
  <si>
    <t>Product 5</t>
  </si>
  <si>
    <t>Product 6</t>
  </si>
  <si>
    <t>Product 7</t>
  </si>
  <si>
    <t>Product 8</t>
  </si>
  <si>
    <t>Product 9</t>
  </si>
  <si>
    <t>Product 10</t>
  </si>
  <si>
    <t>Create a dynamic redistribution schedule</t>
  </si>
  <si>
    <t>Pavilion company operates 10 funds for their various projects.</t>
  </si>
  <si>
    <t>The company has a retention policy such that it retains between 10-30% of the funds subject to the board's approval</t>
  </si>
  <si>
    <t>and it redistributes the remaining amount to the various department based on their percentage.</t>
  </si>
  <si>
    <t>Question</t>
  </si>
  <si>
    <t>Calculate the various amount received by each department</t>
  </si>
  <si>
    <t>Retention Rate:</t>
  </si>
  <si>
    <t>Fund 1</t>
  </si>
  <si>
    <t>Fund 2</t>
  </si>
  <si>
    <t>Fund 3</t>
  </si>
  <si>
    <t>Fund 4</t>
  </si>
  <si>
    <t>Fund 5</t>
  </si>
  <si>
    <t>Fund 6</t>
  </si>
  <si>
    <t>Fund 7</t>
  </si>
  <si>
    <t>Fund 8</t>
  </si>
  <si>
    <t>Fund 9</t>
  </si>
  <si>
    <t>Fund 10</t>
  </si>
  <si>
    <t>Jan</t>
  </si>
  <si>
    <t>Feb</t>
  </si>
  <si>
    <t>Mar</t>
  </si>
  <si>
    <t>1st Q</t>
  </si>
  <si>
    <t>Apr</t>
  </si>
  <si>
    <t>May</t>
  </si>
  <si>
    <t>Jun</t>
  </si>
  <si>
    <t>2nd Q</t>
  </si>
  <si>
    <t>Jul</t>
  </si>
  <si>
    <t>Aug</t>
  </si>
  <si>
    <t>Sep</t>
  </si>
  <si>
    <t>3rd Q</t>
  </si>
  <si>
    <t>Oct</t>
  </si>
  <si>
    <t>Nov</t>
  </si>
  <si>
    <t>Dec</t>
  </si>
  <si>
    <t>4th Q</t>
  </si>
  <si>
    <t>TOTAL</t>
  </si>
  <si>
    <t>Gross Revenue</t>
  </si>
  <si>
    <t>Shipping</t>
  </si>
  <si>
    <t>Cost of Goods Sold</t>
  </si>
  <si>
    <t>Goods</t>
  </si>
  <si>
    <t>Freight</t>
  </si>
  <si>
    <t>Miscellaneous</t>
  </si>
  <si>
    <t>Cost of Goods Total</t>
  </si>
  <si>
    <t>Gross Profit</t>
  </si>
  <si>
    <t>Expenses</t>
  </si>
  <si>
    <t>Advertising</t>
  </si>
  <si>
    <t>Electricity</t>
  </si>
  <si>
    <t>Food</t>
  </si>
  <si>
    <t>Heat</t>
  </si>
  <si>
    <t>Insurance</t>
  </si>
  <si>
    <t>Interest</t>
  </si>
  <si>
    <t>Legal Services</t>
  </si>
  <si>
    <t>Office Supplies</t>
  </si>
  <si>
    <t>Rent</t>
  </si>
  <si>
    <t>Salaries</t>
  </si>
  <si>
    <t>Taxes</t>
  </si>
  <si>
    <t>Telephone</t>
  </si>
  <si>
    <t>Training</t>
  </si>
  <si>
    <t>Travel</t>
  </si>
  <si>
    <t>Utilities</t>
  </si>
  <si>
    <t>Water</t>
  </si>
  <si>
    <t>Total Expenses</t>
  </si>
  <si>
    <t>Net Profit</t>
  </si>
  <si>
    <t>Date</t>
  </si>
  <si>
    <t>Giving the month of January as a base month, grow each month with the respective quarterly rate.</t>
  </si>
  <si>
    <t>Company's bonus Policy</t>
  </si>
  <si>
    <t>Answer the following questions using the Staff Data</t>
  </si>
  <si>
    <t>Finance</t>
  </si>
  <si>
    <t>Customer service</t>
  </si>
  <si>
    <t>QHSSE</t>
  </si>
  <si>
    <t>Accounts</t>
  </si>
  <si>
    <t>Operations</t>
  </si>
  <si>
    <t>IT</t>
  </si>
  <si>
    <t>Department</t>
  </si>
  <si>
    <t>Asset Maintenance</t>
  </si>
  <si>
    <t>Project</t>
  </si>
  <si>
    <t>TOS</t>
  </si>
  <si>
    <t>Referencing</t>
  </si>
  <si>
    <t>What is cell referencing in Excel?</t>
  </si>
  <si>
    <t>Adjusting alphabetic case with the UPPER, LOWER, and PROPER functions</t>
  </si>
  <si>
    <t>Microsoft Excel Training</t>
  </si>
  <si>
    <t>Finex Skills Hub</t>
  </si>
  <si>
    <t>ALT KEY SHORTCUTS</t>
  </si>
  <si>
    <t>Format Rows, Columns, Cells font; background; borders</t>
  </si>
  <si>
    <t>Select range of Cells</t>
  </si>
  <si>
    <t>SHIFT + Directional Keys</t>
  </si>
  <si>
    <t>Select entire column</t>
  </si>
  <si>
    <t>CTRL + SPACEBAR</t>
  </si>
  <si>
    <t>Select entire row</t>
  </si>
  <si>
    <t>SHIFT + SPACEBAR</t>
  </si>
  <si>
    <t>Remove/Bring back the Gridlines</t>
  </si>
  <si>
    <t>ALT , W , V , G</t>
  </si>
  <si>
    <t>Insert a Bottom Border</t>
  </si>
  <si>
    <t>ALT , H , B , O</t>
  </si>
  <si>
    <t>Insert a Top and Double Bottom Border</t>
  </si>
  <si>
    <t>???</t>
  </si>
  <si>
    <t>Resize Column width</t>
  </si>
  <si>
    <t>Fill Background Colour</t>
  </si>
  <si>
    <t>Font Colour</t>
  </si>
  <si>
    <t>Format Numbers</t>
  </si>
  <si>
    <t>Values</t>
  </si>
  <si>
    <t>Format as General</t>
  </si>
  <si>
    <t>CTRL + SHIFT + `</t>
  </si>
  <si>
    <t>Format as Number</t>
  </si>
  <si>
    <t>CTRL + SHIFT + 1 (!)</t>
  </si>
  <si>
    <t>Format as Time</t>
  </si>
  <si>
    <t>CTRL + SHIFT + 2 (@)</t>
  </si>
  <si>
    <t>Format as Date</t>
  </si>
  <si>
    <t>CTRL + SHIFT + 3 (#)</t>
  </si>
  <si>
    <t>Format as Currency</t>
  </si>
  <si>
    <t>CTRL + SHIFT + 4 ($)</t>
  </si>
  <si>
    <t>Format as Percentage</t>
  </si>
  <si>
    <t>CTRL + SHIFT + 5 (%)</t>
  </si>
  <si>
    <t>Format as Exponential</t>
  </si>
  <si>
    <t>CTRL + SHIFT + 6 (^)</t>
  </si>
  <si>
    <t>Quick Insight using Table Filters</t>
  </si>
  <si>
    <r>
      <t xml:space="preserve">Convert the data into a Table named </t>
    </r>
    <r>
      <rPr>
        <b/>
        <i/>
        <sz val="10"/>
        <color theme="1"/>
        <rFont val="Segoe UI"/>
        <family val="2"/>
      </rPr>
      <t>HRData</t>
    </r>
  </si>
  <si>
    <t>Bonus on Salary</t>
  </si>
  <si>
    <t>HR Data</t>
  </si>
  <si>
    <r>
      <rPr>
        <b/>
        <i/>
        <sz val="10"/>
        <color rgb="FFF4CF30"/>
        <rFont val="Segoe UI"/>
        <family val="2"/>
      </rPr>
      <t>Learn</t>
    </r>
    <r>
      <rPr>
        <b/>
        <i/>
        <sz val="10"/>
        <color theme="0"/>
        <rFont val="Segoe UI"/>
        <family val="2"/>
      </rPr>
      <t xml:space="preserve">. </t>
    </r>
    <r>
      <rPr>
        <b/>
        <i/>
        <sz val="10"/>
        <color rgb="FFF55D4D"/>
        <rFont val="Segoe UI"/>
        <family val="2"/>
      </rPr>
      <t>Connect</t>
    </r>
    <r>
      <rPr>
        <b/>
        <i/>
        <sz val="10"/>
        <color theme="0"/>
        <rFont val="Segoe UI"/>
        <family val="2"/>
      </rPr>
      <t xml:space="preserve">. </t>
    </r>
    <r>
      <rPr>
        <b/>
        <i/>
        <sz val="10"/>
        <color rgb="FF4BBD69"/>
        <rFont val="Segoe UI"/>
        <family val="2"/>
      </rPr>
      <t>Grow</t>
    </r>
  </si>
  <si>
    <t>Using the HR Data complete the following activity</t>
  </si>
  <si>
    <t>Activity:  Simple Calculation</t>
  </si>
  <si>
    <t>What is the total bonus paid to employees?</t>
  </si>
  <si>
    <t>What is the average bonus paid to employees?</t>
  </si>
  <si>
    <t>What is the total number of employees?</t>
  </si>
  <si>
    <t>What is the highest salary?</t>
  </si>
  <si>
    <t>What is the lowest salary?</t>
  </si>
  <si>
    <t>Activity:  Single Criteria- Understand the Syntax of Sumif, Countif and Averageif</t>
  </si>
  <si>
    <t>What is the total salary of employees in the the Operations Department?</t>
  </si>
  <si>
    <t>What is the average bonus paid to employees in the IT Department?</t>
  </si>
  <si>
    <t>How many employees are in the Operations Department?</t>
  </si>
  <si>
    <t>How many employees were hired after 1/09/2010  ?</t>
  </si>
  <si>
    <t>Activity:  Multiple criteria- Understand the Syntax of Sumifs, Countifs and Averageifs</t>
  </si>
  <si>
    <t>What is the total bonus paid to Full-Time Operations employees?</t>
  </si>
  <si>
    <r>
      <t xml:space="preserve">How much bonus was paid to Operations employees who are </t>
    </r>
    <r>
      <rPr>
        <b/>
        <sz val="10"/>
        <color theme="1"/>
        <rFont val="Segoe UI"/>
        <family val="2"/>
      </rPr>
      <t>NOT</t>
    </r>
    <r>
      <rPr>
        <sz val="10"/>
        <color theme="1"/>
        <rFont val="Segoe UI"/>
        <family val="2"/>
      </rPr>
      <t xml:space="preserve"> contract staff?</t>
    </r>
  </si>
  <si>
    <t>How many TOS employees have worked for at least 6 years?</t>
  </si>
  <si>
    <t>How many employees were hired between 1/1/2000 and 12/12/2010?</t>
  </si>
  <si>
    <t>Video Gallery</t>
  </si>
  <si>
    <r>
      <rPr>
        <b/>
        <i/>
        <sz val="9"/>
        <color rgb="FFFFC000"/>
        <rFont val="Segoe UI"/>
        <family val="2"/>
      </rPr>
      <t xml:space="preserve">Learn </t>
    </r>
    <r>
      <rPr>
        <i/>
        <sz val="9"/>
        <color theme="0"/>
        <rFont val="Segoe UI"/>
        <family val="2"/>
      </rPr>
      <t>.</t>
    </r>
    <r>
      <rPr>
        <i/>
        <sz val="9"/>
        <color theme="1"/>
        <rFont val="Segoe UI"/>
        <family val="2"/>
      </rPr>
      <t xml:space="preserve"> </t>
    </r>
    <r>
      <rPr>
        <b/>
        <i/>
        <sz val="9"/>
        <color rgb="FFFF2929"/>
        <rFont val="Segoe UI"/>
        <family val="2"/>
      </rPr>
      <t xml:space="preserve">Connect </t>
    </r>
    <r>
      <rPr>
        <i/>
        <sz val="9"/>
        <color theme="0"/>
        <rFont val="Segoe UI"/>
        <family val="2"/>
      </rPr>
      <t>.</t>
    </r>
    <r>
      <rPr>
        <i/>
        <sz val="9"/>
        <color theme="1"/>
        <rFont val="Segoe UI"/>
        <family val="2"/>
      </rPr>
      <t xml:space="preserve"> </t>
    </r>
    <r>
      <rPr>
        <b/>
        <i/>
        <sz val="9"/>
        <color rgb="FF00B050"/>
        <rFont val="Segoe UI"/>
        <family val="2"/>
      </rPr>
      <t>Grow</t>
    </r>
  </si>
  <si>
    <t>Table of Content</t>
  </si>
  <si>
    <t>Format Telephone #</t>
  </si>
  <si>
    <t>Format numbers to display all digits</t>
  </si>
  <si>
    <t>Shortcuts</t>
  </si>
  <si>
    <t>Application -HR Data</t>
  </si>
  <si>
    <t>company for more than 10 years</t>
  </si>
  <si>
    <t>Bonus of 5,000 is paid to employees whose job rating is above 3 and has worked the</t>
  </si>
  <si>
    <t>Bonus of 5,000 is paid to employees whose job rating is above 3 or has worked the</t>
  </si>
  <si>
    <t>No bonus is paid to employees whose rating is below 2,</t>
  </si>
  <si>
    <t>a bonus of GHS 200 is paid to employees whose rate is below 4</t>
  </si>
  <si>
    <t>and a bonus of GHS 350 to employees whose rate is 4 and above</t>
  </si>
  <si>
    <r>
      <t xml:space="preserve">Activity: </t>
    </r>
    <r>
      <rPr>
        <b/>
        <sz val="10"/>
        <color theme="8" tint="-0.499984740745262"/>
        <rFont val="Segoe UI"/>
        <family val="2"/>
      </rPr>
      <t>The Budget Challenge</t>
    </r>
  </si>
  <si>
    <r>
      <t xml:space="preserve">Build the </t>
    </r>
    <r>
      <rPr>
        <b/>
        <sz val="10"/>
        <color theme="1"/>
        <rFont val="Segoe UI"/>
        <family val="2"/>
      </rPr>
      <t>BUDGET</t>
    </r>
    <r>
      <rPr>
        <sz val="10"/>
        <color theme="1"/>
        <rFont val="Segoe UI"/>
        <family val="2"/>
      </rPr>
      <t xml:space="preserve"> below using any of the Excel Techniques you know.</t>
    </r>
  </si>
  <si>
    <r>
      <rPr>
        <b/>
        <sz val="10"/>
        <color theme="1"/>
        <rFont val="Segoe UI"/>
        <family val="2"/>
      </rPr>
      <t>LEFT</t>
    </r>
    <r>
      <rPr>
        <sz val="10"/>
        <color theme="1"/>
        <rFont val="Segoe UI"/>
        <family val="2"/>
      </rPr>
      <t xml:space="preserve"> - returns a specified number of characters starting from the </t>
    </r>
    <r>
      <rPr>
        <b/>
        <sz val="10"/>
        <color theme="1"/>
        <rFont val="Segoe UI"/>
        <family val="2"/>
      </rPr>
      <t>left side</t>
    </r>
    <r>
      <rPr>
        <sz val="10"/>
        <color theme="1"/>
        <rFont val="Segoe UI"/>
        <family val="2"/>
      </rPr>
      <t xml:space="preserve"> of a text string</t>
    </r>
  </si>
  <si>
    <r>
      <rPr>
        <b/>
        <sz val="10"/>
        <color theme="1"/>
        <rFont val="Segoe UI"/>
        <family val="2"/>
      </rPr>
      <t>RIGHT</t>
    </r>
    <r>
      <rPr>
        <sz val="10"/>
        <color theme="1"/>
        <rFont val="Segoe UI"/>
        <family val="2"/>
      </rPr>
      <t xml:space="preserve"> - returns a specified number of characters starting from the </t>
    </r>
    <r>
      <rPr>
        <b/>
        <sz val="10"/>
        <color theme="1"/>
        <rFont val="Segoe UI"/>
        <family val="2"/>
      </rPr>
      <t>right side</t>
    </r>
    <r>
      <rPr>
        <sz val="10"/>
        <color theme="1"/>
        <rFont val="Segoe UI"/>
        <family val="2"/>
      </rPr>
      <t xml:space="preserve"> of a text string</t>
    </r>
  </si>
  <si>
    <r>
      <rPr>
        <b/>
        <sz val="10"/>
        <color theme="1"/>
        <rFont val="Segoe UI"/>
        <family val="2"/>
      </rPr>
      <t>MID</t>
    </r>
    <r>
      <rPr>
        <sz val="10"/>
        <color theme="1"/>
        <rFont val="Segoe UI"/>
        <family val="2"/>
      </rPr>
      <t xml:space="preserve"> - returns a specified number of characters starting from the </t>
    </r>
    <r>
      <rPr>
        <b/>
        <sz val="10"/>
        <color theme="1"/>
        <rFont val="Segoe UI"/>
        <family val="2"/>
      </rPr>
      <t>any part</t>
    </r>
    <r>
      <rPr>
        <sz val="10"/>
        <color theme="1"/>
        <rFont val="Segoe UI"/>
        <family val="2"/>
      </rPr>
      <t xml:space="preserve"> of a text string</t>
    </r>
  </si>
  <si>
    <r>
      <rPr>
        <b/>
        <sz val="10"/>
        <color theme="1"/>
        <rFont val="Segoe UI"/>
        <family val="2"/>
      </rPr>
      <t>CONCATENATE</t>
    </r>
    <r>
      <rPr>
        <sz val="10"/>
        <color theme="1"/>
        <rFont val="Segoe UI"/>
        <family val="2"/>
      </rPr>
      <t xml:space="preserve"> function - joins several text string into one</t>
    </r>
  </si>
  <si>
    <r>
      <rPr>
        <b/>
        <sz val="10"/>
        <color theme="1"/>
        <rFont val="Segoe UI"/>
        <family val="2"/>
      </rPr>
      <t>AMPERSAND</t>
    </r>
    <r>
      <rPr>
        <sz val="10"/>
        <color theme="1"/>
        <rFont val="Segoe UI"/>
        <family val="2"/>
      </rPr>
      <t xml:space="preserve"> (</t>
    </r>
    <r>
      <rPr>
        <b/>
        <sz val="10"/>
        <color theme="1"/>
        <rFont val="Segoe UI"/>
        <family val="2"/>
      </rPr>
      <t>&amp;</t>
    </r>
    <r>
      <rPr>
        <sz val="10"/>
        <color theme="1"/>
        <rFont val="Segoe UI"/>
        <family val="2"/>
      </rPr>
      <t>) character - joins several text string into one</t>
    </r>
  </si>
  <si>
    <r>
      <rPr>
        <b/>
        <sz val="10"/>
        <color theme="1"/>
        <rFont val="Segoe UI"/>
        <family val="2"/>
      </rPr>
      <t>LEN</t>
    </r>
    <r>
      <rPr>
        <sz val="10"/>
        <color theme="1"/>
        <rFont val="Segoe UI"/>
        <family val="2"/>
      </rPr>
      <t xml:space="preserve"> - returns the number of characters in a text string</t>
    </r>
  </si>
  <si>
    <r>
      <rPr>
        <b/>
        <sz val="10"/>
        <color theme="1"/>
        <rFont val="Segoe UI"/>
        <family val="2"/>
      </rPr>
      <t>TRIM</t>
    </r>
    <r>
      <rPr>
        <sz val="10"/>
        <color theme="1"/>
        <rFont val="Segoe UI"/>
        <family val="2"/>
      </rPr>
      <t xml:space="preserve"> - removes all spaces from a text string except for single spaces between words</t>
    </r>
  </si>
  <si>
    <r>
      <rPr>
        <b/>
        <sz val="10"/>
        <color theme="1"/>
        <rFont val="Segoe UI"/>
        <family val="2"/>
      </rPr>
      <t>LOWER</t>
    </r>
    <r>
      <rPr>
        <sz val="10"/>
        <color theme="1"/>
        <rFont val="Segoe UI"/>
        <family val="2"/>
      </rPr>
      <t xml:space="preserve"> - convert a text string into lowercase</t>
    </r>
  </si>
  <si>
    <r>
      <rPr>
        <b/>
        <sz val="10"/>
        <color theme="1"/>
        <rFont val="Segoe UI"/>
        <family val="2"/>
      </rPr>
      <t>UPPER</t>
    </r>
    <r>
      <rPr>
        <sz val="10"/>
        <color theme="1"/>
        <rFont val="Segoe UI"/>
        <family val="2"/>
      </rPr>
      <t xml:space="preserve"> - convert a text string into uppercase</t>
    </r>
  </si>
  <si>
    <r>
      <rPr>
        <b/>
        <sz val="10"/>
        <color theme="1"/>
        <rFont val="Segoe UI"/>
        <family val="2"/>
      </rPr>
      <t>PROPER</t>
    </r>
    <r>
      <rPr>
        <sz val="10"/>
        <color theme="1"/>
        <rFont val="Segoe UI"/>
        <family val="2"/>
      </rPr>
      <t xml:space="preserve"> - convert a text string into proper case; the first letter of each word is capitalised and the rest is lowercase</t>
    </r>
  </si>
  <si>
    <r>
      <rPr>
        <b/>
        <sz val="10"/>
        <color theme="1"/>
        <rFont val="Segoe UI"/>
        <family val="2"/>
      </rPr>
      <t>FIND</t>
    </r>
    <r>
      <rPr>
        <sz val="10"/>
        <color theme="1"/>
        <rFont val="Segoe UI"/>
        <family val="2"/>
      </rPr>
      <t xml:space="preserve"> - returns the starting position of one text string within anoter text string. </t>
    </r>
    <r>
      <rPr>
        <b/>
        <sz val="10"/>
        <color theme="1"/>
        <rFont val="Segoe UI"/>
        <family val="2"/>
      </rPr>
      <t>FIND</t>
    </r>
    <r>
      <rPr>
        <sz val="10"/>
        <color theme="1"/>
        <rFont val="Segoe UI"/>
        <family val="2"/>
      </rPr>
      <t xml:space="preserve"> is case-sensitive</t>
    </r>
  </si>
  <si>
    <r>
      <rPr>
        <b/>
        <sz val="10"/>
        <color theme="1"/>
        <rFont val="Segoe UI"/>
        <family val="2"/>
      </rPr>
      <t>SEARCH</t>
    </r>
    <r>
      <rPr>
        <sz val="10"/>
        <color theme="1"/>
        <rFont val="Segoe UI"/>
        <family val="2"/>
      </rPr>
      <t xml:space="preserve"> - returns the starting position of one text string within anoter text string. </t>
    </r>
    <r>
      <rPr>
        <b/>
        <sz val="10"/>
        <color theme="1"/>
        <rFont val="Segoe UI"/>
        <family val="2"/>
      </rPr>
      <t>SEARCH</t>
    </r>
    <r>
      <rPr>
        <sz val="10"/>
        <color theme="1"/>
        <rFont val="Segoe UI"/>
        <family val="2"/>
      </rPr>
      <t xml:space="preserve"> is not case-sensitive</t>
    </r>
  </si>
  <si>
    <r>
      <rPr>
        <b/>
        <sz val="10"/>
        <color theme="1"/>
        <rFont val="Segoe UI"/>
        <family val="2"/>
      </rPr>
      <t>REPT</t>
    </r>
    <r>
      <rPr>
        <sz val="10"/>
        <color theme="1"/>
        <rFont val="Segoe UI"/>
        <family val="2"/>
      </rPr>
      <t xml:space="preserve"> - repeats a specified text a given number of times</t>
    </r>
  </si>
  <si>
    <t>Policy 1</t>
  </si>
  <si>
    <t>Policy 2</t>
  </si>
  <si>
    <t>Policy 3</t>
  </si>
  <si>
    <t>Policy 4</t>
  </si>
  <si>
    <t>Policy 5</t>
  </si>
  <si>
    <t>Policy 6</t>
  </si>
  <si>
    <t>Policy 5: AND</t>
  </si>
  <si>
    <t>Policy 6: OR</t>
  </si>
  <si>
    <t>Policy 1: Simple IF</t>
  </si>
  <si>
    <t>Policy 2: Simple IF</t>
  </si>
  <si>
    <t>Policy 3: Simple IF</t>
  </si>
  <si>
    <t>Policy 4: Nested IF</t>
  </si>
  <si>
    <r>
      <t xml:space="preserve">Click on the </t>
    </r>
    <r>
      <rPr>
        <b/>
        <i/>
        <sz val="10"/>
        <color rgb="FFC00000"/>
        <rFont val="Segoe UI"/>
        <family val="2"/>
      </rPr>
      <t>RED BUTTON</t>
    </r>
    <r>
      <rPr>
        <i/>
        <sz val="10"/>
        <color theme="0"/>
        <rFont val="Segoe UI"/>
        <family val="2"/>
      </rPr>
      <t xml:space="preserve"> to watch the solution and don’t forget to subscribe</t>
    </r>
  </si>
  <si>
    <t>2022 Budget Projections</t>
  </si>
  <si>
    <r>
      <t xml:space="preserve">The </t>
    </r>
    <r>
      <rPr>
        <b/>
        <sz val="10"/>
        <color theme="1"/>
        <rFont val="Segoe UI"/>
        <family val="2"/>
      </rPr>
      <t>CHALLENGE</t>
    </r>
    <r>
      <rPr>
        <sz val="10"/>
        <color theme="1"/>
        <rFont val="Segoe UI"/>
        <family val="2"/>
      </rPr>
      <t xml:space="preserve"> here is to do it under </t>
    </r>
    <r>
      <rPr>
        <b/>
        <sz val="10"/>
        <color rgb="FFC00000"/>
        <rFont val="Segoe UI"/>
        <family val="2"/>
      </rPr>
      <t>20 min</t>
    </r>
  </si>
  <si>
    <t>Total Sales</t>
  </si>
  <si>
    <t>■ What the difference between a cell and a Range?</t>
  </si>
  <si>
    <r>
      <t xml:space="preserve">A </t>
    </r>
    <r>
      <rPr>
        <b/>
        <sz val="9"/>
        <color rgb="FFFF0000"/>
        <rFont val="Segoe UI"/>
        <family val="2"/>
      </rPr>
      <t>range</t>
    </r>
    <r>
      <rPr>
        <sz val="11"/>
        <color theme="1"/>
        <rFont val="Calibri"/>
        <family val="2"/>
        <scheme val="minor"/>
      </rPr>
      <t xml:space="preserve"> in Excel is a collection of two or more cells.</t>
    </r>
  </si>
  <si>
    <t>■ Excel's Golden Rule</t>
  </si>
  <si>
    <t>Rule 1:</t>
  </si>
  <si>
    <t>If a formula input can change, put it into a cell and refer to it in the formula with a cell reference.</t>
  </si>
  <si>
    <t>Always label your formula inputs so that the formula input can be clearly understood by any user of the spreadsheet solution;</t>
  </si>
  <si>
    <t>by doing this we properly “document the spreadsheet solution (model).</t>
  </si>
  <si>
    <t>Examples of formula inputs that can change:</t>
  </si>
  <si>
    <r>
      <rPr>
        <b/>
        <sz val="9"/>
        <color theme="1"/>
        <rFont val="Segoe UI"/>
        <family val="2"/>
      </rPr>
      <t xml:space="preserve">✓ </t>
    </r>
    <r>
      <rPr>
        <sz val="11"/>
        <color theme="1"/>
        <rFont val="Calibri"/>
        <family val="2"/>
        <scheme val="minor"/>
      </rPr>
      <t>Tax Rates</t>
    </r>
  </si>
  <si>
    <r>
      <rPr>
        <b/>
        <sz val="9"/>
        <color theme="1"/>
        <rFont val="Segoe UI"/>
        <family val="2"/>
      </rPr>
      <t xml:space="preserve">✓ </t>
    </r>
    <r>
      <rPr>
        <sz val="11"/>
        <color theme="1"/>
        <rFont val="Calibri"/>
        <family val="2"/>
        <scheme val="minor"/>
      </rPr>
      <t>Commission Percentages</t>
    </r>
  </si>
  <si>
    <t>Hard Coding</t>
  </si>
  <si>
    <r>
      <t>“</t>
    </r>
    <r>
      <rPr>
        <b/>
        <sz val="9"/>
        <color rgb="FFFF0000"/>
        <rFont val="Segoe UI"/>
        <family val="2"/>
      </rPr>
      <t>Hard Coding</t>
    </r>
    <r>
      <rPr>
        <sz val="11"/>
        <color theme="1"/>
        <rFont val="Calibri"/>
        <family val="2"/>
        <scheme val="minor"/>
      </rPr>
      <t>” means you type the formula input directly into the formula.</t>
    </r>
  </si>
  <si>
    <r>
      <t>For example tax deduction formula: =A4*</t>
    </r>
    <r>
      <rPr>
        <b/>
        <sz val="9"/>
        <color theme="1"/>
        <rFont val="Segoe UI"/>
        <family val="2"/>
      </rPr>
      <t xml:space="preserve">15%. </t>
    </r>
    <r>
      <rPr>
        <sz val="11"/>
        <color theme="1"/>
        <rFont val="Calibri"/>
        <family val="2"/>
        <scheme val="minor"/>
      </rPr>
      <t xml:space="preserve">The </t>
    </r>
    <r>
      <rPr>
        <b/>
        <sz val="9"/>
        <color theme="1"/>
        <rFont val="Segoe UI"/>
        <family val="2"/>
      </rPr>
      <t>15%</t>
    </r>
    <r>
      <rPr>
        <sz val="11"/>
        <color theme="1"/>
        <rFont val="Calibri"/>
        <family val="2"/>
        <scheme val="minor"/>
      </rPr>
      <t xml:space="preserve"> in the formula is "hard coded"</t>
    </r>
  </si>
  <si>
    <r>
      <t xml:space="preserve">NEVER "HARD CODE" </t>
    </r>
    <r>
      <rPr>
        <sz val="11"/>
        <color theme="1"/>
        <rFont val="Calibri"/>
        <family val="2"/>
        <scheme val="minor"/>
      </rPr>
      <t>if Rule 1 applies</t>
    </r>
    <r>
      <rPr>
        <b/>
        <sz val="9"/>
        <color theme="1"/>
        <rFont val="Segoe UI"/>
        <family val="2"/>
      </rPr>
      <t>.</t>
    </r>
  </si>
  <si>
    <t>Rule 2:</t>
  </si>
  <si>
    <t>If a formula input will not change, you can type it into a formula</t>
  </si>
  <si>
    <t>If the input is a number and it will not change: you can type the number into the formula.</t>
  </si>
  <si>
    <t>If the input is text and it will not change you can put the text in double quote.</t>
  </si>
  <si>
    <r>
      <t xml:space="preserve">Examples of formula inputs that will </t>
    </r>
    <r>
      <rPr>
        <b/>
        <sz val="9"/>
        <color theme="1"/>
        <rFont val="Segoe UI"/>
        <family val="2"/>
      </rPr>
      <t>NOT</t>
    </r>
    <r>
      <rPr>
        <sz val="11"/>
        <color theme="1"/>
        <rFont val="Calibri"/>
        <family val="2"/>
        <scheme val="minor"/>
      </rPr>
      <t xml:space="preserve"> change:</t>
    </r>
  </si>
  <si>
    <r>
      <rPr>
        <b/>
        <sz val="9"/>
        <color theme="1"/>
        <rFont val="Segoe UI"/>
        <family val="2"/>
      </rPr>
      <t xml:space="preserve">✓ </t>
    </r>
    <r>
      <rPr>
        <sz val="11"/>
        <color theme="1"/>
        <rFont val="Calibri"/>
        <family val="2"/>
        <scheme val="minor"/>
      </rPr>
      <t>Number of months in a year : 12</t>
    </r>
  </si>
  <si>
    <r>
      <rPr>
        <b/>
        <sz val="9"/>
        <color theme="1"/>
        <rFont val="Segoe UI"/>
        <family val="2"/>
      </rPr>
      <t xml:space="preserve">✓ </t>
    </r>
    <r>
      <rPr>
        <sz val="11"/>
        <color theme="1"/>
        <rFont val="Calibri"/>
        <family val="2"/>
        <scheme val="minor"/>
      </rPr>
      <t>Number of days in a week : 7</t>
    </r>
  </si>
  <si>
    <r>
      <rPr>
        <b/>
        <sz val="9"/>
        <color theme="1"/>
        <rFont val="Segoe UI"/>
        <family val="2"/>
      </rPr>
      <t xml:space="preserve">✓ </t>
    </r>
    <r>
      <rPr>
        <sz val="11"/>
        <color theme="1"/>
        <rFont val="Calibri"/>
        <family val="2"/>
        <scheme val="minor"/>
      </rPr>
      <t>Number of hours in a day : 24</t>
    </r>
  </si>
  <si>
    <t>Why Excel’s Golden Rule?</t>
  </si>
  <si>
    <r>
      <rPr>
        <b/>
        <sz val="9"/>
        <color theme="1"/>
        <rFont val="Segoe UI"/>
        <family val="2"/>
      </rPr>
      <t xml:space="preserve">✓ </t>
    </r>
    <r>
      <rPr>
        <sz val="11"/>
        <color theme="1"/>
        <rFont val="Calibri"/>
        <family val="2"/>
        <scheme val="minor"/>
      </rPr>
      <t>Easy to update the spreadsheet solution or spreadsheet model:</t>
    </r>
  </si>
  <si>
    <r>
      <rPr>
        <b/>
        <sz val="9"/>
        <color theme="1"/>
        <rFont val="Segoe UI"/>
        <family val="2"/>
      </rPr>
      <t xml:space="preserve">✓ </t>
    </r>
    <r>
      <rPr>
        <sz val="11"/>
        <color theme="1"/>
        <rFont val="Calibri"/>
        <family val="2"/>
        <scheme val="minor"/>
      </rPr>
      <t>It is easy to change the formula inputs when they are listed on the face of the spreadsheet.</t>
    </r>
  </si>
  <si>
    <r>
      <rPr>
        <b/>
        <sz val="9"/>
        <color theme="1"/>
        <rFont val="Segoe UI"/>
        <family val="2"/>
      </rPr>
      <t xml:space="preserve">✓ </t>
    </r>
    <r>
      <rPr>
        <sz val="11"/>
        <color theme="1"/>
        <rFont val="Calibri"/>
        <family val="2"/>
        <scheme val="minor"/>
      </rPr>
      <t>Violating Excel’s Golden Rule by “Hard Coding” leads to errors.</t>
    </r>
  </si>
  <si>
    <r>
      <rPr>
        <b/>
        <sz val="9"/>
        <color theme="1"/>
        <rFont val="Segoe UI"/>
        <family val="2"/>
      </rPr>
      <t xml:space="preserve">✓ </t>
    </r>
    <r>
      <rPr>
        <sz val="11"/>
        <color theme="1"/>
        <rFont val="Calibri"/>
        <family val="2"/>
        <scheme val="minor"/>
      </rPr>
      <t>The Golden Rule does not only apply to Formula Inputs, but the rule applies to dialog boxes also.</t>
    </r>
  </si>
  <si>
    <r>
      <rPr>
        <b/>
        <sz val="9"/>
        <color theme="1"/>
        <rFont val="Segoe UI"/>
        <family val="2"/>
      </rPr>
      <t xml:space="preserve">✓ </t>
    </r>
    <r>
      <rPr>
        <sz val="11"/>
        <color theme="1"/>
        <rFont val="Calibri"/>
        <family val="2"/>
        <scheme val="minor"/>
      </rPr>
      <t>It is easy to understand how the spreadsheet is constructed if the formula inputs are visible on the face of the spreadsheet.</t>
    </r>
  </si>
  <si>
    <r>
      <rPr>
        <b/>
        <sz val="9"/>
        <color theme="1"/>
        <rFont val="Segoe UI"/>
        <family val="2"/>
      </rPr>
      <t xml:space="preserve">✓ </t>
    </r>
    <r>
      <rPr>
        <sz val="11"/>
        <color theme="1"/>
        <rFont val="Calibri"/>
        <family val="2"/>
        <scheme val="minor"/>
      </rPr>
      <t>The labels for the formula inputs indicate exactly what the formula input represents.</t>
    </r>
  </si>
  <si>
    <t>■ How to start a formula</t>
  </si>
  <si>
    <t>A formula in Excel is an expression that starts with an equal sign.</t>
  </si>
  <si>
    <t>Best practice a formula must with an equal sign.</t>
  </si>
  <si>
    <t>■ Type of Refencing in excel</t>
  </si>
  <si>
    <t>There are three main type of referencing in Excel</t>
  </si>
  <si>
    <t xml:space="preserve"> </t>
  </si>
  <si>
    <t>a.</t>
  </si>
  <si>
    <t>Cell referencing</t>
  </si>
  <si>
    <t>A cell reference in Excel is a cell address. It tells Microsoft Excel where to look for the value you want to use in the formula.</t>
  </si>
  <si>
    <t>Type of cell referencing</t>
  </si>
  <si>
    <t>i. Relative referencing</t>
  </si>
  <si>
    <t>A relative reference in Excel is a cell address without the $ sign in the row and column coordinates, like A1.</t>
  </si>
  <si>
    <t>When a formula with relative cell references in copied to another cell, the reference changes based on a relative position of rows and columns.</t>
  </si>
  <si>
    <t>By default, all references in Excel are relative.</t>
  </si>
  <si>
    <t>ii. Absolute referencing</t>
  </si>
  <si>
    <t>A absolute reference in Excel is a cell address with the dollar sign ($) in the row or column coordinates, like $A$1.</t>
  </si>
  <si>
    <t>The dollar sign fixes the reference to a given cell, so that it remains unchanged no matter where the formula</t>
  </si>
  <si>
    <t>moves. In other words, using $ in cell references allows you to copy the formula in Excel without changing references.</t>
  </si>
  <si>
    <t>iii. Mixed referencing</t>
  </si>
  <si>
    <t>A mixed cell reference in Excel is a reference where either the column letter or a row number is fixed.</t>
  </si>
  <si>
    <t>For example, $A1 and A$1 are mixed references.</t>
  </si>
  <si>
    <t>Cross Referencing</t>
  </si>
  <si>
    <t>i. Other Worksheet</t>
  </si>
  <si>
    <t>ii. Another Workbook</t>
  </si>
  <si>
    <t>3D Referencing</t>
  </si>
  <si>
    <r>
      <rPr>
        <b/>
        <sz val="9"/>
        <color rgb="FFFF0000"/>
        <rFont val="Segoe UI"/>
        <family val="2"/>
      </rPr>
      <t>3D reference</t>
    </r>
    <r>
      <rPr>
        <sz val="11"/>
        <color theme="1"/>
        <rFont val="Calibri"/>
        <family val="2"/>
        <scheme val="minor"/>
      </rPr>
      <t xml:space="preserve"> in Excel refers to the same cell or range of cells on multiple worksheets.</t>
    </r>
  </si>
  <si>
    <t>It is a very convenient and fast way to calculate data across several worksheets with the same</t>
  </si>
  <si>
    <t>structure, and it may be a good alternative to the Excel Consolidate feature.</t>
  </si>
  <si>
    <t>For example, to find an Total of values in cells A1 to A10 in Sheet1, Sheet2 and Sheet3, you can use the SUM function with a 3d reference:</t>
  </si>
  <si>
    <t xml:space="preserve"> =SUM(Sheet1:Sheet3!A1:A3)</t>
  </si>
  <si>
    <t>b.</t>
  </si>
  <si>
    <t>Named Ranges referencing</t>
  </si>
  <si>
    <t>In Microsoft Excel, you can give a human-readable name to a single cell or a range of cells,</t>
  </si>
  <si>
    <t>and refer to those cells by name rather than by reference.</t>
  </si>
  <si>
    <t>How to create an Excel named range</t>
  </si>
  <si>
    <t>There are 3 ways to define a name in Excel: Name Box, Define Name button, and Excel Name Manager.</t>
  </si>
  <si>
    <t>c.</t>
  </si>
  <si>
    <t>Structured referencing/ Table referencing</t>
  </si>
  <si>
    <t>A structured reference, or table reference, is special way for referencing tables and their parts that uses a</t>
  </si>
  <si>
    <t>combination of table and column names instead of cell addresses.</t>
  </si>
  <si>
    <t>Key features of structured references</t>
  </si>
  <si>
    <t>✓  Easily created</t>
  </si>
  <si>
    <t>✓ Easy to read and understand</t>
  </si>
  <si>
    <t>✓ Resilient and automatically updated</t>
  </si>
  <si>
    <t>✓ Can be used inside and outside a table</t>
  </si>
  <si>
    <t>✓ Formula auto-fill (calculated columns)</t>
  </si>
  <si>
    <t>Commission rate:</t>
  </si>
  <si>
    <t>Avg Quantity</t>
  </si>
  <si>
    <t>Avg Selling Price</t>
  </si>
  <si>
    <t>Total Commission</t>
  </si>
  <si>
    <t xml:space="preserve">Sales </t>
  </si>
  <si>
    <t>Product</t>
  </si>
  <si>
    <r>
      <t xml:space="preserve">Branch A: </t>
    </r>
    <r>
      <rPr>
        <sz val="12"/>
        <color theme="1"/>
        <rFont val="Segoe UI"/>
        <family val="2"/>
      </rPr>
      <t>Sales Data for January</t>
    </r>
  </si>
  <si>
    <r>
      <t xml:space="preserve">Branch B: </t>
    </r>
    <r>
      <rPr>
        <sz val="12"/>
        <color theme="1"/>
        <rFont val="Segoe UI"/>
        <family val="2"/>
      </rPr>
      <t>Sales Data for January</t>
    </r>
  </si>
  <si>
    <r>
      <t xml:space="preserve">Branch C: </t>
    </r>
    <r>
      <rPr>
        <sz val="12"/>
        <color theme="1"/>
        <rFont val="Segoe UI"/>
        <family val="2"/>
      </rPr>
      <t>Sales Data for January</t>
    </r>
  </si>
  <si>
    <t>Average Sales</t>
  </si>
  <si>
    <t xml:space="preserve">Total Sales </t>
  </si>
  <si>
    <t>Calculate the Average Sales for the 3 Branches</t>
  </si>
  <si>
    <t>Calculate the Total Sales amount for the 3 Branches</t>
  </si>
  <si>
    <r>
      <t xml:space="preserve">Total: </t>
    </r>
    <r>
      <rPr>
        <sz val="12"/>
        <color theme="1"/>
        <rFont val="Segoe UI"/>
        <family val="2"/>
      </rPr>
      <t>Sales Data for January</t>
    </r>
  </si>
  <si>
    <t>Effective calculation- 3-D Referencing</t>
  </si>
  <si>
    <t>Activity:</t>
  </si>
  <si>
    <t>Use Named ranges in performing calculation</t>
  </si>
  <si>
    <t>Create 3D Referencing</t>
  </si>
  <si>
    <t>ALT key shortcuts</t>
  </si>
  <si>
    <t>Practice 1</t>
  </si>
  <si>
    <t>Kofi, Dora, Yaw, Fii and Sara have an agreement with Zeal Bank to Exchange their dollars for cedis at Ghc 5.74 per $.</t>
  </si>
  <si>
    <t>They however monitor the change in rates between the agreed rate with Zeal Bank (Ghc 5.74/$) and the going rate.</t>
  </si>
  <si>
    <t>Calculate how much they would receive in Ghana cedis if they decide to change their dollars at the going rate.</t>
  </si>
  <si>
    <t>Exchange Rate [Ghs/$]:</t>
  </si>
  <si>
    <t>Monday</t>
  </si>
  <si>
    <t>Tuesday</t>
  </si>
  <si>
    <t>Wednesday</t>
  </si>
  <si>
    <t>Thursday</t>
  </si>
  <si>
    <t>Friday</t>
  </si>
  <si>
    <t>Change in rate</t>
  </si>
  <si>
    <t>Kofi</t>
  </si>
  <si>
    <t>Dora</t>
  </si>
  <si>
    <t>Yaw</t>
  </si>
  <si>
    <t>Fii</t>
  </si>
  <si>
    <t>Sara</t>
  </si>
  <si>
    <t>Practice 2</t>
  </si>
  <si>
    <t>What is Microsoft Excel?</t>
  </si>
  <si>
    <t>What are the major features of Microsoft Excel?</t>
  </si>
  <si>
    <t>Format Numbers with leading Zeros</t>
  </si>
  <si>
    <t>Format Numbers displaying full characters</t>
  </si>
  <si>
    <t>CTRL + SHIFT key shortcuts</t>
  </si>
  <si>
    <t>CTRL key shortcuts</t>
  </si>
  <si>
    <t>CTRL + 1, Number</t>
  </si>
  <si>
    <t>Difference between Cells and Ranges</t>
  </si>
  <si>
    <t>Use table filters to query a data</t>
  </si>
  <si>
    <t>Use the table structure referencing in a formula</t>
  </si>
  <si>
    <t>SUM,AVERAGE,COUNT,COUNTA,MAX,MIN</t>
  </si>
  <si>
    <t>SUMIF (S),AVERAGEIF (S),COUNTIF (S),MAXIF (S),MINIF (S)</t>
  </si>
  <si>
    <t>How to create a TABLE</t>
  </si>
  <si>
    <t>Excel Tables</t>
  </si>
  <si>
    <t>■ What is a table in Excel?</t>
  </si>
  <si>
    <r>
      <rPr>
        <b/>
        <i/>
        <sz val="9"/>
        <color rgb="FFE63200"/>
        <rFont val="Segoe UI"/>
        <family val="2"/>
      </rPr>
      <t>Excel tables</t>
    </r>
    <r>
      <rPr>
        <i/>
        <sz val="9"/>
        <color theme="1"/>
        <rFont val="Segoe UI"/>
        <family val="2"/>
      </rPr>
      <t xml:space="preserve"> were introduced in Excel 2007 as in improved version of Excel 2003 List feature, and are</t>
    </r>
  </si>
  <si>
    <t>available in all versions of Excel 2010, Excel 2013, Excel 2016, and Excel 2019.</t>
  </si>
  <si>
    <r>
      <rPr>
        <b/>
        <i/>
        <sz val="9"/>
        <rFont val="Segoe UI"/>
        <family val="2"/>
      </rPr>
      <t>Excel table</t>
    </r>
    <r>
      <rPr>
        <i/>
        <sz val="9"/>
        <rFont val="Segoe UI"/>
        <family val="2"/>
      </rPr>
      <t xml:space="preserve"> is a named object that contains related data that are entered in a series of rows and columns</t>
    </r>
  </si>
  <si>
    <t xml:space="preserve">and that allows you to manage its contents independently from the rest of the worksheet data through </t>
  </si>
  <si>
    <t>the  structured references.</t>
  </si>
  <si>
    <r>
      <t xml:space="preserve">A </t>
    </r>
    <r>
      <rPr>
        <b/>
        <i/>
        <sz val="9"/>
        <rFont val="Segoe UI"/>
        <family val="2"/>
      </rPr>
      <t>structured reference</t>
    </r>
    <r>
      <rPr>
        <i/>
        <sz val="9"/>
        <rFont val="Segoe UI"/>
        <family val="2"/>
      </rPr>
      <t xml:space="preserve"> is a term for using a table name in a formula instead of a normal cell reference.</t>
    </r>
  </si>
  <si>
    <t>It is constructed using a combination of table and column names.</t>
  </si>
  <si>
    <t>■ How to insert an Excel table</t>
  </si>
  <si>
    <t>There are 3 ways to insert a Table.</t>
  </si>
  <si>
    <t>Insert Tab</t>
  </si>
  <si>
    <t>Select a cell in the Data</t>
  </si>
  <si>
    <t>Go to --&gt; Insert Tab --&gt; Tables --&gt; Table</t>
  </si>
  <si>
    <t>Home Tab</t>
  </si>
  <si>
    <t>Go to --&gt; Home --&gt; Styles group --&gt; Format as a Table</t>
  </si>
  <si>
    <t>Using a shortcut</t>
  </si>
  <si>
    <t>Select a cell in the Data and press CTRL + T or L</t>
  </si>
  <si>
    <t>■ How to recognise an Excel table</t>
  </si>
  <si>
    <t xml:space="preserve">To recognise a data is in a Table from Excel point of vue, you will see an additional </t>
  </si>
  <si>
    <r>
      <t>command tab "</t>
    </r>
    <r>
      <rPr>
        <b/>
        <i/>
        <sz val="9"/>
        <color theme="1"/>
        <rFont val="Segoe UI"/>
        <family val="2"/>
      </rPr>
      <t>Table tools or Table Design</t>
    </r>
    <r>
      <rPr>
        <i/>
        <sz val="9"/>
        <color theme="1"/>
        <rFont val="Segoe UI"/>
        <family val="2"/>
      </rPr>
      <t>" any time you selected a cell in the dataset.</t>
    </r>
  </si>
  <si>
    <t>■ The most useful features of Excel tables</t>
  </si>
  <si>
    <t>Excel table has got numerous benefits</t>
  </si>
  <si>
    <t>It facilates an automatic table expansion to include new data</t>
  </si>
  <si>
    <t>It has got an integrated sorting and filtering options</t>
  </si>
  <si>
    <t>The column headings are visible while scrolling</t>
  </si>
  <si>
    <t>d.</t>
  </si>
  <si>
    <t>It is easy formatting (Excel table styles)</t>
  </si>
  <si>
    <t>e.</t>
  </si>
  <si>
    <t>It is easy to add a quick totals (total row)</t>
  </si>
  <si>
    <t>f.</t>
  </si>
  <si>
    <t>It has an automatic fill dow feature when inserting a calculation (calculated columns)</t>
  </si>
  <si>
    <t>g.</t>
  </si>
  <si>
    <t>Easy to select data with a one-click</t>
  </si>
  <si>
    <t>h.</t>
  </si>
  <si>
    <t>Easy-to-understand table formulas (structured references)</t>
  </si>
  <si>
    <t>i.</t>
  </si>
  <si>
    <t>It allows to create dynamic charts</t>
  </si>
  <si>
    <t>j.</t>
  </si>
  <si>
    <t>It allows to print only the table in the printing settings</t>
  </si>
  <si>
    <t>■ What is a Microsoft Excel?</t>
  </si>
  <si>
    <r>
      <rPr>
        <b/>
        <sz val="9"/>
        <color theme="1"/>
        <rFont val="Segoe UI"/>
        <family val="2"/>
      </rPr>
      <t>Microsoft Excel</t>
    </r>
    <r>
      <rPr>
        <sz val="11"/>
        <color theme="1"/>
        <rFont val="Calibri"/>
        <family val="2"/>
        <scheme val="minor"/>
      </rPr>
      <t xml:space="preserve"> is a spreadsheet program included in the Microsoft Office suite of applications.</t>
    </r>
  </si>
  <si>
    <t>It has three basic purposes.</t>
  </si>
  <si>
    <t>It helps store Data</t>
  </si>
  <si>
    <t>It helps perform basic calculation.</t>
  </si>
  <si>
    <t>and It helps perform Data analysis</t>
  </si>
  <si>
    <t>■ What are Microsoft Excel components?</t>
  </si>
  <si>
    <t>Ribbon</t>
  </si>
  <si>
    <r>
      <t xml:space="preserve">The </t>
    </r>
    <r>
      <rPr>
        <b/>
        <sz val="9"/>
        <color rgb="FFFF0000"/>
        <rFont val="Segoe UI"/>
        <family val="2"/>
      </rPr>
      <t>Ribbon </t>
    </r>
    <r>
      <rPr>
        <sz val="11"/>
        <color theme="1"/>
        <rFont val="Calibri"/>
        <family val="2"/>
        <scheme val="minor"/>
      </rPr>
      <t>is a strip of buttons and icons</t>
    </r>
  </si>
  <si>
    <t>(refer image) in Excel Workbook window where</t>
  </si>
  <si>
    <t>Excel commands are located. The buttons and icons</t>
  </si>
  <si>
    <t>of Excel Ribbon are grouped in to different tabs based</t>
  </si>
  <si>
    <t>on the category of their functionalities.</t>
  </si>
  <si>
    <t>Quick Access Toolbar</t>
  </si>
  <si>
    <r>
      <t xml:space="preserve">The </t>
    </r>
    <r>
      <rPr>
        <b/>
        <sz val="9"/>
        <color rgb="FFFF0000"/>
        <rFont val="Segoe UI"/>
        <family val="2"/>
      </rPr>
      <t>Quick Access Tool Bar</t>
    </r>
    <r>
      <rPr>
        <sz val="11"/>
        <color theme="1"/>
        <rFont val="Calibri"/>
        <family val="2"/>
        <scheme val="minor"/>
      </rPr>
      <t> is used to hold commonly used commands.</t>
    </r>
  </si>
  <si>
    <t>Quick Access Tool Bar (QAT) is always visible, regardless of which tab is selected.</t>
  </si>
  <si>
    <t>By default, the Quick Access Tool Bar (QAT) contains the Save, Undo and Redo button.</t>
  </si>
  <si>
    <t>Name Box</t>
  </si>
  <si>
    <r>
      <t xml:space="preserve">The </t>
    </r>
    <r>
      <rPr>
        <b/>
        <sz val="9"/>
        <color rgb="FFFF0000"/>
        <rFont val="Segoe UI"/>
        <family val="2"/>
      </rPr>
      <t>Name Box</t>
    </r>
    <r>
      <rPr>
        <sz val="11"/>
        <color theme="1"/>
        <rFont val="Calibri"/>
        <family val="2"/>
        <scheme val="minor"/>
      </rPr>
      <t xml:space="preserve"> is where the Active Cell Address or Name is displayed. Refer the image.</t>
    </r>
  </si>
  <si>
    <t>Formula bar</t>
  </si>
  <si>
    <r>
      <t xml:space="preserve"> The </t>
    </r>
    <r>
      <rPr>
        <b/>
        <sz val="9"/>
        <color rgb="FFFF0000"/>
        <rFont val="Segoe UI"/>
        <family val="2"/>
      </rPr>
      <t>Formula bar</t>
    </r>
    <r>
      <rPr>
        <sz val="11"/>
        <color theme="1"/>
        <rFont val="Calibri"/>
        <family val="2"/>
        <scheme val="minor"/>
      </rPr>
      <t> is located at the top of the Excel Worksheet window.</t>
    </r>
  </si>
  <si>
    <t>It shows the contents of the currently selected cell. It serves to enter Data or Formula into a cell.</t>
  </si>
  <si>
    <t>Rows</t>
  </si>
  <si>
    <r>
      <t xml:space="preserve">Each </t>
    </r>
    <r>
      <rPr>
        <b/>
        <sz val="9"/>
        <color rgb="FFFF0000"/>
        <rFont val="Segoe UI"/>
        <family val="2"/>
      </rPr>
      <t>Row</t>
    </r>
    <r>
      <rPr>
        <sz val="11"/>
        <color theme="1"/>
        <rFont val="Calibri"/>
        <family val="2"/>
        <scheme val="minor"/>
      </rPr>
      <t xml:space="preserve"> in Excel Worksheet is identified using numbers start from 1.</t>
    </r>
  </si>
  <si>
    <t>There are 1,048,576 rows.</t>
  </si>
  <si>
    <t>Columns</t>
  </si>
  <si>
    <r>
      <t xml:space="preserve"> Each </t>
    </r>
    <r>
      <rPr>
        <b/>
        <sz val="9"/>
        <color rgb="FFFF0000"/>
        <rFont val="Segoe UI"/>
        <family val="2"/>
      </rPr>
      <t>column</t>
    </r>
    <r>
      <rPr>
        <sz val="11"/>
        <color theme="1"/>
        <rFont val="Calibri"/>
        <family val="2"/>
        <scheme val="minor"/>
      </rPr>
      <t xml:space="preserve"> in Excel Worksheet is identified</t>
    </r>
  </si>
  <si>
    <t>using letters from A to XFD. From A to XFD, there are total of 16,384 columns available.</t>
  </si>
  <si>
    <t>Worksheet Tab Scroll</t>
  </si>
  <si>
    <r>
      <t xml:space="preserve">The </t>
    </r>
    <r>
      <rPr>
        <b/>
        <sz val="9"/>
        <color rgb="FFFF0000"/>
        <rFont val="Segoe UI"/>
        <family val="2"/>
      </rPr>
      <t>Worksheet Tab Scroll</t>
    </r>
    <r>
      <rPr>
        <sz val="11"/>
        <color theme="1"/>
        <rFont val="Calibri"/>
        <family val="2"/>
        <scheme val="minor"/>
      </rPr>
      <t xml:space="preserve"> helps you to navigate through the worksheet</t>
    </r>
  </si>
  <si>
    <t xml:space="preserve">and display the names of the various worksheet when you right-click within. </t>
  </si>
  <si>
    <t>Ribbon collapse button</t>
  </si>
  <si>
    <r>
      <t xml:space="preserve">The </t>
    </r>
    <r>
      <rPr>
        <b/>
        <sz val="9"/>
        <color rgb="FFFF0000"/>
        <rFont val="Segoe UI"/>
        <family val="2"/>
      </rPr>
      <t>Ribbon collapse button</t>
    </r>
    <r>
      <rPr>
        <sz val="11"/>
        <color theme="1"/>
        <rFont val="Calibri"/>
        <family val="2"/>
        <scheme val="minor"/>
      </rPr>
      <t xml:space="preserve"> helps you to collapse the Ribbon.</t>
    </r>
  </si>
  <si>
    <t>■ Navigate through the Ribbon using the ALT path shorcuts</t>
  </si>
  <si>
    <t>Remove Gridlines</t>
  </si>
  <si>
    <t>ALT + W + V + G</t>
  </si>
  <si>
    <t>Autofit Column</t>
  </si>
  <si>
    <t>ALT + H + O + I</t>
  </si>
  <si>
    <t>■ Navigate the Worsheet tabs</t>
  </si>
  <si>
    <t>Move within worksheets tab</t>
  </si>
  <si>
    <t>CTRL + PageDown/ PageUp</t>
  </si>
  <si>
    <t>Insert a new worsheet</t>
  </si>
  <si>
    <t>SHIFT + F11</t>
  </si>
  <si>
    <t>Delete Worsheet</t>
  </si>
  <si>
    <t>ALT + E + L</t>
  </si>
  <si>
    <t>■ Go to the Worksheet</t>
  </si>
  <si>
    <t>Go to the last column</t>
  </si>
  <si>
    <t>CTRL + Right direction</t>
  </si>
  <si>
    <t>Go to the last row</t>
  </si>
  <si>
    <t>CTRL + Down direction</t>
  </si>
  <si>
    <t>Go to Cell A1</t>
  </si>
  <si>
    <t>CTRL + HOME</t>
  </si>
  <si>
    <t>Navigate by pages Up and Down</t>
  </si>
  <si>
    <t>PageUp and PageDown</t>
  </si>
  <si>
    <t>Navigate by pages Left and Right</t>
  </si>
  <si>
    <t>ALT PageUp and PageDown</t>
  </si>
  <si>
    <t>Use the CTRL + SHIFT shorcuts to format</t>
  </si>
  <si>
    <t>General</t>
  </si>
  <si>
    <t>Number</t>
  </si>
  <si>
    <t>Time</t>
  </si>
  <si>
    <t>Currency</t>
  </si>
  <si>
    <t>Percentage</t>
  </si>
  <si>
    <t>Exponential</t>
  </si>
  <si>
    <t>■ Apply Borderlines to a Dataset</t>
  </si>
  <si>
    <r>
      <rPr>
        <b/>
        <sz val="9"/>
        <color theme="1"/>
        <rFont val="Segoe UI"/>
        <family val="2"/>
      </rPr>
      <t>Using the Ribbon</t>
    </r>
    <r>
      <rPr>
        <sz val="11"/>
        <color theme="1"/>
        <rFont val="Calibri"/>
        <family val="2"/>
        <scheme val="minor"/>
      </rPr>
      <t>: </t>
    </r>
    <r>
      <rPr>
        <i/>
        <sz val="9"/>
        <color theme="1"/>
        <rFont val="Segoe UI"/>
        <family val="2"/>
      </rPr>
      <t>Go to Home –&gt; Font –&gt;</t>
    </r>
  </si>
  <si>
    <r>
      <rPr>
        <b/>
        <sz val="9"/>
        <color theme="1"/>
        <rFont val="Segoe UI"/>
        <family val="2"/>
      </rPr>
      <t>Using Keyboard Shortcut</t>
    </r>
    <r>
      <rPr>
        <sz val="11"/>
        <color theme="1"/>
        <rFont val="Calibri"/>
        <family val="2"/>
        <scheme val="minor"/>
      </rPr>
      <t xml:space="preserve">: Use the </t>
    </r>
    <r>
      <rPr>
        <b/>
        <sz val="9"/>
        <color rgb="FFFF0000"/>
        <rFont val="Segoe UI"/>
        <family val="2"/>
      </rPr>
      <t xml:space="preserve">ATL </t>
    </r>
    <r>
      <rPr>
        <sz val="9"/>
        <color rgb="FFFF0000"/>
        <rFont val="Segoe UI"/>
        <family val="2"/>
      </rPr>
      <t>path</t>
    </r>
    <r>
      <rPr>
        <b/>
        <sz val="9"/>
        <color rgb="FFFF0000"/>
        <rFont val="Segoe UI"/>
        <family val="2"/>
      </rPr>
      <t xml:space="preserve"> Shortcut</t>
    </r>
    <r>
      <rPr>
        <sz val="11"/>
        <color theme="1"/>
        <rFont val="Calibri"/>
        <family val="2"/>
        <scheme val="minor"/>
      </rPr>
      <t xml:space="preserve"> – press one after the other </t>
    </r>
    <r>
      <rPr>
        <b/>
        <i/>
        <sz val="9"/>
        <color theme="1"/>
        <rFont val="Segoe UI"/>
        <family val="2"/>
      </rPr>
      <t>ALT , H , B</t>
    </r>
    <r>
      <rPr>
        <i/>
        <sz val="9"/>
        <color theme="1"/>
        <rFont val="Segoe UI"/>
        <family val="2"/>
      </rPr>
      <t>.</t>
    </r>
  </si>
  <si>
    <t>■ Use the Format Painter</t>
  </si>
  <si>
    <r>
      <rPr>
        <b/>
        <sz val="9"/>
        <color theme="1"/>
        <rFont val="Segoe UI"/>
        <family val="2"/>
      </rPr>
      <t>Using the Ribbon</t>
    </r>
    <r>
      <rPr>
        <sz val="11"/>
        <color theme="1"/>
        <rFont val="Calibri"/>
        <family val="2"/>
        <scheme val="minor"/>
      </rPr>
      <t>: </t>
    </r>
    <r>
      <rPr>
        <i/>
        <sz val="9"/>
        <color theme="1"/>
        <rFont val="Segoe UI"/>
        <family val="2"/>
      </rPr>
      <t>Go to Home –&gt; Clipboard group –&gt;</t>
    </r>
  </si>
  <si>
    <r>
      <rPr>
        <b/>
        <sz val="9"/>
        <color theme="1"/>
        <rFont val="Segoe UI"/>
        <family val="2"/>
      </rPr>
      <t>Using Keyboard Shortcut</t>
    </r>
    <r>
      <rPr>
        <sz val="11"/>
        <color theme="1"/>
        <rFont val="Calibri"/>
        <family val="2"/>
        <scheme val="minor"/>
      </rPr>
      <t xml:space="preserve">: Use the </t>
    </r>
    <r>
      <rPr>
        <b/>
        <sz val="9"/>
        <color rgb="FFFF0000"/>
        <rFont val="Segoe UI"/>
        <family val="2"/>
      </rPr>
      <t xml:space="preserve">ATL </t>
    </r>
    <r>
      <rPr>
        <sz val="9"/>
        <color rgb="FFFF0000"/>
        <rFont val="Segoe UI"/>
        <family val="2"/>
      </rPr>
      <t>path</t>
    </r>
    <r>
      <rPr>
        <b/>
        <sz val="9"/>
        <color rgb="FFFF0000"/>
        <rFont val="Segoe UI"/>
        <family val="2"/>
      </rPr>
      <t xml:space="preserve"> Shortcut</t>
    </r>
    <r>
      <rPr>
        <sz val="11"/>
        <color theme="1"/>
        <rFont val="Calibri"/>
        <family val="2"/>
        <scheme val="minor"/>
      </rPr>
      <t xml:space="preserve"> – press one after the other </t>
    </r>
    <r>
      <rPr>
        <b/>
        <i/>
        <sz val="9"/>
        <color theme="1"/>
        <rFont val="Segoe UI"/>
        <family val="2"/>
      </rPr>
      <t>ALT , H , F, P</t>
    </r>
    <r>
      <rPr>
        <i/>
        <sz val="9"/>
        <color theme="1"/>
        <rFont val="Segoe UI"/>
        <family val="2"/>
      </rPr>
      <t>.</t>
    </r>
  </si>
  <si>
    <t>■ Use of Paste Special Method</t>
  </si>
  <si>
    <t>After copying a cell, you want to paste only certain properties of the cell.</t>
  </si>
  <si>
    <t>Here are four (4) ways to do it.</t>
  </si>
  <si>
    <r>
      <rPr>
        <b/>
        <sz val="9"/>
        <color theme="1"/>
        <rFont val="Segoe UI"/>
        <family val="2"/>
      </rPr>
      <t>Using the Ribbon</t>
    </r>
    <r>
      <rPr>
        <sz val="11"/>
        <color theme="1"/>
        <rFont val="Calibri"/>
        <family val="2"/>
        <scheme val="minor"/>
      </rPr>
      <t>: </t>
    </r>
    <r>
      <rPr>
        <i/>
        <sz val="9"/>
        <color theme="1"/>
        <rFont val="Segoe UI"/>
        <family val="2"/>
      </rPr>
      <t>Go to Home –&gt; Clipboard –&gt; Paste –&gt; Paste Special</t>
    </r>
    <r>
      <rPr>
        <sz val="11"/>
        <color theme="1"/>
        <rFont val="Calibri"/>
        <family val="2"/>
        <scheme val="minor"/>
      </rPr>
      <t>. This will open the Excel Paste Special Dialogue box.</t>
    </r>
  </si>
  <si>
    <r>
      <rPr>
        <b/>
        <sz val="9"/>
        <color theme="1"/>
        <rFont val="Segoe UI"/>
        <family val="2"/>
      </rPr>
      <t>Using Right-click Menu</t>
    </r>
    <r>
      <rPr>
        <sz val="11"/>
        <color theme="1"/>
        <rFont val="Calibri"/>
        <family val="2"/>
        <scheme val="minor"/>
      </rPr>
      <t>: </t>
    </r>
    <r>
      <rPr>
        <i/>
        <sz val="9"/>
        <color theme="1"/>
        <rFont val="Segoe UI"/>
        <family val="2"/>
      </rPr>
      <t>Right Click</t>
    </r>
    <r>
      <rPr>
        <sz val="11"/>
        <color theme="1"/>
        <rFont val="Calibri"/>
        <family val="2"/>
        <scheme val="minor"/>
      </rPr>
      <t xml:space="preserve"> in the cell where you want to paste, and then select paste special.</t>
    </r>
  </si>
  <si>
    <r>
      <rPr>
        <b/>
        <sz val="9"/>
        <color theme="1"/>
        <rFont val="Segoe UI"/>
        <family val="2"/>
      </rPr>
      <t>Using Keyboard Shortcut</t>
    </r>
    <r>
      <rPr>
        <sz val="11"/>
        <color theme="1"/>
        <rFont val="Calibri"/>
        <family val="2"/>
        <scheme val="minor"/>
      </rPr>
      <t xml:space="preserve">: Use the Excel Paste Special Shortcut – press one after the other </t>
    </r>
    <r>
      <rPr>
        <i/>
        <sz val="9"/>
        <color theme="1"/>
        <rFont val="Segoe UI"/>
        <family val="2"/>
      </rPr>
      <t>Alt , E , S .</t>
    </r>
  </si>
  <si>
    <r>
      <rPr>
        <b/>
        <sz val="9"/>
        <color theme="1"/>
        <rFont val="Segoe UI"/>
        <family val="2"/>
      </rPr>
      <t>Using Keyboard Shortcut</t>
    </r>
    <r>
      <rPr>
        <sz val="11"/>
        <color theme="1"/>
        <rFont val="Calibri"/>
        <family val="2"/>
        <scheme val="minor"/>
      </rPr>
      <t xml:space="preserve">: Use the Excel Paste Special Shortcut –holding altogether </t>
    </r>
    <r>
      <rPr>
        <i/>
        <sz val="9"/>
        <color theme="1"/>
        <rFont val="Segoe UI"/>
        <family val="2"/>
      </rPr>
      <t>Ctrl + Alt + V</t>
    </r>
    <r>
      <rPr>
        <sz val="11"/>
        <color theme="1"/>
        <rFont val="Calibri"/>
        <family val="2"/>
        <scheme val="minor"/>
      </rPr>
      <t>.</t>
    </r>
  </si>
  <si>
    <t>■ Format telephone numbers appropriately</t>
  </si>
  <si>
    <r>
      <t xml:space="preserve">Select the range you want to format, press </t>
    </r>
    <r>
      <rPr>
        <b/>
        <sz val="9"/>
        <color theme="1"/>
        <rFont val="Segoe UI"/>
        <family val="2"/>
      </rPr>
      <t>CTRL + 1</t>
    </r>
    <r>
      <rPr>
        <sz val="11"/>
        <color theme="1"/>
        <rFont val="Calibri"/>
        <family val="2"/>
        <scheme val="minor"/>
      </rPr>
      <t>,</t>
    </r>
  </si>
  <si>
    <r>
      <t xml:space="preserve">Go to </t>
    </r>
    <r>
      <rPr>
        <i/>
        <sz val="9"/>
        <color rgb="FFFF4646"/>
        <rFont val="Segoe UI"/>
        <family val="2"/>
      </rPr>
      <t>Number &gt; Custom</t>
    </r>
    <r>
      <rPr>
        <sz val="11"/>
        <color theme="1"/>
        <rFont val="Calibri"/>
        <family val="2"/>
        <scheme val="minor"/>
      </rPr>
      <t xml:space="preserve">, delete whatever format there and type </t>
    </r>
    <r>
      <rPr>
        <b/>
        <sz val="9"/>
        <color theme="1"/>
        <rFont val="Segoe UI"/>
        <family val="2"/>
      </rPr>
      <t>10 zero-string ( 0000000000 )</t>
    </r>
  </si>
  <si>
    <t>■ Format numbers to display all the characters</t>
  </si>
  <si>
    <r>
      <t xml:space="preserve">Go to </t>
    </r>
    <r>
      <rPr>
        <i/>
        <sz val="9"/>
        <color rgb="FFFF4646"/>
        <rFont val="Segoe UI"/>
        <family val="2"/>
      </rPr>
      <t>Number &gt; Custom</t>
    </r>
    <r>
      <rPr>
        <sz val="11"/>
        <color theme="1"/>
        <rFont val="Calibri"/>
        <family val="2"/>
        <scheme val="minor"/>
      </rPr>
      <t xml:space="preserve">, delete whatever format there and type </t>
    </r>
    <r>
      <rPr>
        <b/>
        <sz val="9"/>
        <color theme="1"/>
        <rFont val="Segoe UI"/>
        <family val="2"/>
      </rPr>
      <t>1 zero-string ( 0 )</t>
    </r>
  </si>
  <si>
    <t>■ Move and Insert Columns or Rows</t>
  </si>
  <si>
    <t>Select the range you want to move</t>
  </si>
  <si>
    <t>Put the cursor on the edges of the selected range</t>
  </si>
  <si>
    <t>Hold the left-click of the mouse and slide the range into the desired position</t>
  </si>
  <si>
    <r>
      <t xml:space="preserve">Then hold the </t>
    </r>
    <r>
      <rPr>
        <b/>
        <sz val="9"/>
        <color theme="1"/>
        <rFont val="Segoe UI"/>
        <family val="2"/>
      </rPr>
      <t>SHIFT Key</t>
    </r>
    <r>
      <rPr>
        <sz val="11"/>
        <color theme="1"/>
        <rFont val="Calibri"/>
        <family val="2"/>
        <scheme val="minor"/>
      </rPr>
      <t xml:space="preserve"> and ensure that the insertion symbol is active and release the mouse</t>
    </r>
  </si>
  <si>
    <t>■ Remove Blanks space within a data</t>
  </si>
  <si>
    <r>
      <t xml:space="preserve">Select the </t>
    </r>
    <r>
      <rPr>
        <b/>
        <sz val="9"/>
        <color theme="1"/>
        <rFont val="Segoe UI"/>
        <family val="2"/>
      </rPr>
      <t>entire range</t>
    </r>
    <r>
      <rPr>
        <sz val="11"/>
        <color theme="1"/>
        <rFont val="Calibri"/>
        <family val="2"/>
        <scheme val="minor"/>
      </rPr>
      <t xml:space="preserve"> where the empty cells are </t>
    </r>
  </si>
  <si>
    <r>
      <t xml:space="preserve">Go to </t>
    </r>
    <r>
      <rPr>
        <i/>
        <sz val="9"/>
        <color rgb="FFFF4646"/>
        <rFont val="Segoe UI"/>
        <family val="2"/>
      </rPr>
      <t>Home &gt; Editing Group &gt; Find &amp; Select &gt; Go to Special</t>
    </r>
    <r>
      <rPr>
        <sz val="11"/>
        <color theme="1"/>
        <rFont val="Calibri"/>
        <family val="2"/>
        <scheme val="minor"/>
      </rPr>
      <t xml:space="preserve">, Click on </t>
    </r>
    <r>
      <rPr>
        <b/>
        <sz val="9"/>
        <color theme="1"/>
        <rFont val="Segoe UI"/>
        <family val="2"/>
      </rPr>
      <t>Blank</t>
    </r>
    <r>
      <rPr>
        <sz val="11"/>
        <color theme="1"/>
        <rFont val="Calibri"/>
        <family val="2"/>
        <scheme val="minor"/>
      </rPr>
      <t xml:space="preserve"> then click on OK</t>
    </r>
  </si>
  <si>
    <r>
      <t xml:space="preserve">A </t>
    </r>
    <r>
      <rPr>
        <b/>
        <sz val="9"/>
        <color rgb="FFFF0000"/>
        <rFont val="Segoe UI"/>
        <family val="2"/>
      </rPr>
      <t>cell</t>
    </r>
    <r>
      <rPr>
        <sz val="11"/>
        <color theme="1"/>
        <rFont val="Calibri"/>
        <family val="2"/>
        <scheme val="minor"/>
      </rPr>
      <t xml:space="preserve"> is the intersection of a row and a column. Columns are identified by letters (A, B, C,...), while rows are</t>
    </r>
  </si>
  <si>
    <t>identified by numbers (1, 2, 3,...).</t>
  </si>
  <si>
    <t>Currently, there exist one variable data table and two variable data table. Although limited to a maximum of two different input cells, a data table enables you to test as many variable values as you want.</t>
  </si>
  <si>
    <t>Data tables are especially useful when a formula depends on several values, and you'd like to experiment with different combinations of inputs and compare the results.</t>
  </si>
  <si>
    <r>
      <t xml:space="preserve">In Microsoft Excel, a </t>
    </r>
    <r>
      <rPr>
        <b/>
        <sz val="9"/>
        <color theme="1"/>
        <rFont val="Segoe UI"/>
        <family val="2"/>
      </rPr>
      <t>Data Table</t>
    </r>
    <r>
      <rPr>
        <sz val="11"/>
        <color theme="1"/>
        <rFont val="Calibri"/>
        <family val="2"/>
        <scheme val="minor"/>
      </rPr>
      <t xml:space="preserve"> is one of the What-If Analysis tools that allows you to try out different input values for formulas and see how changes in those values affect the formulas output.</t>
    </r>
  </si>
  <si>
    <t>What is Excel Data Table?</t>
  </si>
  <si>
    <t>different scenarios such as well bad and medium depending on the values present in the range which impact the result.</t>
  </si>
  <si>
    <r>
      <rPr>
        <b/>
        <sz val="9"/>
        <color theme="1"/>
        <rFont val="Segoe UI"/>
        <family val="2"/>
      </rPr>
      <t>Scenario Manager</t>
    </r>
    <r>
      <rPr>
        <sz val="11"/>
        <color theme="1"/>
        <rFont val="Calibri"/>
        <family val="2"/>
        <scheme val="minor"/>
      </rPr>
      <t xml:space="preserve"> is a what-if analysis tool available in excel which works on different scenarios provided to it, it uses a group of ranges which impact on a certain output and can be used for making</t>
    </r>
  </si>
  <si>
    <t>What is Scenario Manager?</t>
  </si>
  <si>
    <t>Solver is a What-if-analysis tool that finds the optimal value of a target cell by changing values in cells used to calculate the target cell given certain constraints.</t>
  </si>
  <si>
    <t>handle smooth nonlinear and non-smooth problems.</t>
  </si>
  <si>
    <t>and therefore is sometimes called a linear programming solver. Apart from that, it can</t>
  </si>
  <si>
    <t xml:space="preserve">The Excel Solver add-in is especially useful for solving linear programming problems, aka linear optimization problems, </t>
  </si>
  <si>
    <t>It is primarily purposed for simulation and optimization of various business and engineering models.</t>
  </si>
  <si>
    <r>
      <rPr>
        <b/>
        <sz val="9"/>
        <color theme="1"/>
        <rFont val="Segoe UI"/>
        <family val="2"/>
      </rPr>
      <t xml:space="preserve">Excel Solver </t>
    </r>
    <r>
      <rPr>
        <sz val="11"/>
        <color theme="1"/>
        <rFont val="Calibri"/>
        <family val="2"/>
        <scheme val="minor"/>
      </rPr>
      <t>belongs to a special set of commands often referred to as What-if Analysis Tools.</t>
    </r>
  </si>
  <si>
    <t>What is Excel Solver?</t>
  </si>
  <si>
    <t>the goal defined in the To Value cell.</t>
  </si>
  <si>
    <r>
      <rPr>
        <sz val="9"/>
        <color rgb="FFC00000"/>
        <rFont val="Segoe UI"/>
        <family val="2"/>
      </rPr>
      <t>■■</t>
    </r>
    <r>
      <rPr>
        <sz val="11"/>
        <color theme="1"/>
        <rFont val="Calibri"/>
        <family val="2"/>
        <scheme val="minor"/>
      </rPr>
      <t xml:space="preserve"> By Changing Cell Specifies the input cell that Excel changes until the Set Cell calculates</t>
    </r>
  </si>
  <si>
    <r>
      <rPr>
        <sz val="9"/>
        <color rgb="FFC00000"/>
        <rFont val="Segoe UI"/>
        <family val="2"/>
      </rPr>
      <t>■■</t>
    </r>
    <r>
      <rPr>
        <sz val="11"/>
        <color theme="1"/>
        <rFont val="Calibri"/>
        <family val="2"/>
        <scheme val="minor"/>
      </rPr>
      <t xml:space="preserve"> To Value Specifies the numerical value for the goal that’s calculated in the Set Cell.</t>
    </r>
  </si>
  <si>
    <t>seeking.</t>
  </si>
  <si>
    <r>
      <rPr>
        <sz val="9"/>
        <color rgb="FFC00000"/>
        <rFont val="Segoe UI"/>
        <family val="2"/>
      </rPr>
      <t xml:space="preserve">■■ </t>
    </r>
    <r>
      <rPr>
        <sz val="11"/>
        <color theme="1"/>
        <rFont val="Calibri"/>
        <family val="2"/>
        <scheme val="minor"/>
      </rPr>
      <t>Set Cell Specifies that the cell contains the formula that calculates the information you’re</t>
    </r>
  </si>
  <si>
    <t>To use Goal Seek, you need to provide Excel with three pieces of information:</t>
  </si>
  <si>
    <t>determines what value you should enter in an input cell to get the desired result in a formula cell.</t>
  </si>
  <si>
    <r>
      <rPr>
        <b/>
        <sz val="9"/>
        <color theme="1"/>
        <rFont val="Segoe UI"/>
        <family val="2"/>
      </rPr>
      <t>Goal Seek</t>
    </r>
    <r>
      <rPr>
        <sz val="11"/>
        <color theme="1"/>
        <rFont val="Calibri"/>
        <family val="2"/>
        <scheme val="minor"/>
      </rPr>
      <t xml:space="preserve"> is Excel's built-in What-If Analysis tool that shows how one value in a formula impacts another. More precisely, it</t>
    </r>
  </si>
  <si>
    <t>What is Goal Seek in Excel?</t>
  </si>
  <si>
    <t>Assignment Gallery</t>
  </si>
  <si>
    <t>Note Gallery</t>
  </si>
  <si>
    <t>Introduction to Excel</t>
  </si>
  <si>
    <t>Tables</t>
  </si>
  <si>
    <t>Download Finex Excel Note</t>
  </si>
  <si>
    <t>Week 3: Budget</t>
  </si>
  <si>
    <t>Bonus: Vlookup</t>
  </si>
  <si>
    <t>Bonus: Index-Match</t>
  </si>
  <si>
    <t>Bonus: Xlookup</t>
  </si>
  <si>
    <t>Exact Match</t>
  </si>
  <si>
    <t>Approximate Match</t>
  </si>
  <si>
    <t>Bonus rate</t>
  </si>
  <si>
    <t>Vlookup</t>
  </si>
  <si>
    <t>Xlookup</t>
  </si>
  <si>
    <t>Index-Match</t>
  </si>
  <si>
    <r>
      <t xml:space="preserve">In column </t>
    </r>
    <r>
      <rPr>
        <b/>
        <sz val="10"/>
        <color theme="1"/>
        <rFont val="Segoe UI"/>
        <family val="2"/>
      </rPr>
      <t>K, L and M</t>
    </r>
    <r>
      <rPr>
        <sz val="10"/>
        <color theme="1"/>
        <rFont val="Segoe UI"/>
        <family val="2"/>
      </rPr>
      <t>, calculate the appropriate bonus using the bonus rate table</t>
    </r>
  </si>
  <si>
    <r>
      <t xml:space="preserve">Turn the data into an Excel Table and Name the Table </t>
    </r>
    <r>
      <rPr>
        <b/>
        <sz val="10"/>
        <color theme="1"/>
        <rFont val="Segoe UI"/>
        <family val="2"/>
      </rPr>
      <t>Lookup</t>
    </r>
  </si>
  <si>
    <t>Company's bonus rate table</t>
  </si>
  <si>
    <t>Setting up a Business</t>
  </si>
  <si>
    <t>You are thinking of starting a little business in your neighbourhood to sell lemonade juice. Before opening the business,</t>
  </si>
  <si>
    <t>you are curious about how your profit, revenue, and variable costs will behave with various assumptions</t>
  </si>
  <si>
    <t>Assumptions</t>
  </si>
  <si>
    <t>Original Case</t>
  </si>
  <si>
    <t xml:space="preserve">Price </t>
  </si>
  <si>
    <t>Demand</t>
  </si>
  <si>
    <t>How much should you charge to reach your Target profit?</t>
  </si>
  <si>
    <t>Variable Cost per unit</t>
  </si>
  <si>
    <t>Fixed Cost</t>
  </si>
  <si>
    <t>How much should Fixed cost be to reach your Target profit?</t>
  </si>
  <si>
    <t>Target Profit</t>
  </si>
  <si>
    <t>What should Demand be in order to reach your Target profit?</t>
  </si>
  <si>
    <t>Calculations</t>
  </si>
  <si>
    <t>Revenue</t>
  </si>
  <si>
    <t>Variable cost</t>
  </si>
  <si>
    <t>Contribution</t>
  </si>
  <si>
    <t>Profit</t>
  </si>
  <si>
    <t>How much should Price and Fixed cost change to reach your Target profit?</t>
  </si>
  <si>
    <t>Giving the constraint that</t>
  </si>
  <si>
    <t>Fixed cannot be lower that 41,000</t>
  </si>
  <si>
    <r>
      <t xml:space="preserve">Activity: </t>
    </r>
    <r>
      <rPr>
        <b/>
        <sz val="11"/>
        <rFont val="Segoe UI"/>
        <family val="2"/>
      </rPr>
      <t>Build 3 Scenario case</t>
    </r>
  </si>
  <si>
    <t>Using the information above, build a sensitivity analysis</t>
  </si>
  <si>
    <t>One Way Data Table</t>
  </si>
  <si>
    <t>Unit Price</t>
  </si>
  <si>
    <t>Two Way Data Table</t>
  </si>
  <si>
    <t>Price</t>
  </si>
  <si>
    <t>■ What is a PivotTable?</t>
  </si>
  <si>
    <t>Why do you have to learn Pivot Tables?</t>
  </si>
  <si>
    <t>In the modern business world, every job involves data analyst. Whether you’re in HR, sales, accounting, finance, actuarial or marketing, you need data skills.</t>
  </si>
  <si>
    <t>Making sense of our data is the common challenge we face across industry. This usually means producing summarized reports that are easy to read and understand,</t>
  </si>
  <si>
    <t>so we can gain meaningful insights.</t>
  </si>
  <si>
    <r>
      <rPr>
        <b/>
        <sz val="9"/>
        <color rgb="FFFF0000"/>
        <rFont val="Segoe UI"/>
        <family val="2"/>
      </rPr>
      <t>Pivot Tables</t>
    </r>
    <r>
      <rPr>
        <sz val="11"/>
        <color theme="1"/>
        <rFont val="Calibri"/>
        <family val="2"/>
        <scheme val="minor"/>
      </rPr>
      <t xml:space="preserve"> is a tool in Excel that allows you to generate a dynamic summary report from large amounts of data and quickly turn it into meaningful insights.</t>
    </r>
  </si>
  <si>
    <t>PivotTables were introduced in Excel 97, unfortunately, many users till date avoid this feature because they think it’s too complicated.</t>
  </si>
  <si>
    <t>One minor drawback to using a PivotTable is that, unlike a formula-based summary report, a PivotTable does not update automatically when you</t>
  </si>
  <si>
    <t>change information in the source data.</t>
  </si>
  <si>
    <t>The source data can be:</t>
  </si>
  <si>
    <t>► An Excel worksheet database/list or any range that has labelled columns.</t>
  </si>
  <si>
    <t>► A collection of ranges to be consolidated. The ranges must contain both labelled rows and columns.</t>
  </si>
  <si>
    <t>► A database file created in an external application such as Access or Dbase.</t>
  </si>
  <si>
    <t>How to Insert a Pivot Table</t>
  </si>
  <si>
    <t>Stand in the data you wish to insert a PivotTable on</t>
  </si>
  <si>
    <t>Go to Insert Command tab</t>
  </si>
  <si>
    <t>Click on PivotTable</t>
  </si>
  <si>
    <r>
      <t xml:space="preserve">Or use the Shortcut Key </t>
    </r>
    <r>
      <rPr>
        <b/>
        <sz val="9"/>
        <color rgb="FFFF0000"/>
        <rFont val="Segoe UI"/>
        <family val="2"/>
      </rPr>
      <t>ALT, N, V</t>
    </r>
  </si>
  <si>
    <t>a dialog Box will pop up</t>
  </si>
  <si>
    <t>Excel will guess the range limit but you can manually select if Excel fails to guess right</t>
  </si>
  <si>
    <t>Choose where you want the PivotTable report to be placed</t>
  </si>
  <si>
    <t>► New Worksheet</t>
  </si>
  <si>
    <t>► Existing Worksheet</t>
  </si>
  <si>
    <t>■ How do you recognise a PivotTable?</t>
  </si>
  <si>
    <t>When a PivotTable is created, an additional Command tab is added to the ribbon called PivotTable Tools or PivotTable Analyze</t>
  </si>
  <si>
    <r>
      <t>and on the</t>
    </r>
    <r>
      <rPr>
        <u/>
        <sz val="9"/>
        <color theme="1"/>
        <rFont val="Segoe UI"/>
        <family val="2"/>
      </rPr>
      <t xml:space="preserve"> left corner</t>
    </r>
    <r>
      <rPr>
        <sz val="11"/>
        <color theme="1"/>
        <rFont val="Calibri"/>
        <family val="2"/>
        <scheme val="minor"/>
      </rPr>
      <t xml:space="preserve"> a field appears and the </t>
    </r>
    <r>
      <rPr>
        <u/>
        <sz val="9"/>
        <color theme="1"/>
        <rFont val="Segoe UI"/>
        <family val="2"/>
      </rPr>
      <t>right corner</t>
    </r>
    <r>
      <rPr>
        <sz val="11"/>
        <color theme="1"/>
        <rFont val="Calibri"/>
        <family val="2"/>
        <scheme val="minor"/>
      </rPr>
      <t xml:space="preserve"> the PivotTable Fields pane appears</t>
    </r>
  </si>
  <si>
    <t>■ Why is a PivotTable called a PivotTable?</t>
  </si>
  <si>
    <t>The term Pivot, as a verb, means to rotate or revolve. In Excel, a PivotTable allows you to use fields as Columns Headers (Horizontal) or as Rows (Vertical)</t>
  </si>
  <si>
    <t>therefore rotating the data to get various views</t>
  </si>
  <si>
    <t>■ What PivotTable layouts are available in Excel?</t>
  </si>
  <si>
    <t>In Excel, there are three (3) layouts which are the Compact form, the Outline form and the Tabular form</t>
  </si>
  <si>
    <t>In the Compact form, the row fields are shown one on top of another</t>
  </si>
  <si>
    <t>In Outline form, the row fields are in different column and in separate rows</t>
  </si>
  <si>
    <t>In the Tabular form</t>
  </si>
  <si>
    <t>Compact form</t>
  </si>
  <si>
    <t>Outline form</t>
  </si>
  <si>
    <t>Tabular form</t>
  </si>
  <si>
    <t>To change the layout, first place your cursor anywhere within the table. On the Design tab, in the Layout group, click Report Layout, and choose any of them.</t>
  </si>
  <si>
    <t>■ PivotTable Fields pane</t>
  </si>
  <si>
    <t>The PivotTable Fields pane is divided into two (2) section</t>
  </si>
  <si>
    <t>The top section contains the field names of the Data source</t>
  </si>
  <si>
    <t>The bottom section contains four Areas,</t>
  </si>
  <si>
    <t>Filters</t>
  </si>
  <si>
    <t>is used to fi lter the PivotTable, showing only a subset of all of the data in the selected data set.</t>
  </si>
  <si>
    <t>Fields dragged here have their values listed across the top row of the PivotTable.</t>
  </si>
  <si>
    <t>Fields dragged here are listed on the left side of the table in the order in which they are added to the box.</t>
  </si>
  <si>
    <t>performs mathematical operation in the table of fields dragged here to determine the values that will appear</t>
  </si>
  <si>
    <t>at each intersection of row and column categories.</t>
  </si>
  <si>
    <t>■ How can I collapse and expand fields?</t>
  </si>
  <si>
    <t>Expanding and collapsing fields (a feature introduced in Excel 2007) is a great advantage in Pivot-Tables.</t>
  </si>
  <si>
    <t>You see minus (–) signs by each the row fields. Clicking the minus sign collapses a field and changes the sign to a plus (+) sign.</t>
  </si>
  <si>
    <t>And clicking the plus sign expands the field.</t>
  </si>
  <si>
    <t>You can also expand or collapse an entire field. Go to any row containing a member of that field, and select the Analyze tab on the ribbon.</t>
  </si>
  <si>
    <t>In the Active Field group, click either the Expand Field button (labeled with a green plus sign) or the Collapse Field button (labeled with a red minus sign).</t>
  </si>
  <si>
    <t>■ How do I sort and filter PivotTable fields?</t>
  </si>
  <si>
    <t>To sort a particular field, right-click that very field and choose sort</t>
  </si>
  <si>
    <t>Sort A to Z</t>
  </si>
  <si>
    <t>Sort Names alphabetically and Numbers in descending order</t>
  </si>
  <si>
    <t>Sort Z to A</t>
  </si>
  <si>
    <t>Sort Names in the reverse and Numbers in ascending order</t>
  </si>
  <si>
    <t>■ How do I summarize a PivotTable by using a PivotChart?</t>
  </si>
  <si>
    <t>Excel makes it easy to visually summarize PivotTables by using PivotCharts.</t>
  </si>
  <si>
    <t>The key to laying out the data the way you want it in a PivotChart is to sort data and collapse or expand fields.</t>
  </si>
  <si>
    <t>Simply click anywhere inside the table, and then select PivotChart on the Analyze tab.</t>
  </si>
  <si>
    <t>In the Insert Chart dialog box, pick the chart type you want to create.</t>
  </si>
  <si>
    <t>■ How do I use the Reports Filter section of the PivotTable?</t>
  </si>
  <si>
    <t>To use the Reports Filter, click the filter Icon and select the item(s) you want to filter by</t>
  </si>
  <si>
    <t>To multi-select check the box Select Multiple Items after click on the filter icon</t>
  </si>
  <si>
    <t>■ How do PivotTable slicers work?</t>
  </si>
  <si>
    <t>The problem with a report filter is that a viewer of the PivotTable cannot easily see what the table summarizes. Excel’s slicer feature (introduced in Excel 2010) neatly solves this problem.</t>
  </si>
  <si>
    <t>To create a slicer for any of the columns of data used to generate your PivotTable Place your cursor anywhere in the PivotTable,</t>
  </si>
  <si>
    <t>and then click Slicer on the ribbon’s Insert tab (in the Filters group).</t>
  </si>
  <si>
    <t>or and then click Slicer on the PivotTable tab (in the Filters group)</t>
  </si>
  <si>
    <t>Using a given slicer, you can select any subset of possible values to be</t>
  </si>
  <si>
    <t>used in creating your table. To multi-select,hold down the Ctrl Key and select the items to be included.</t>
  </si>
  <si>
    <t>■ How do I add blank rows or hide subtotals and grand totals in a PivotTable?</t>
  </si>
  <si>
    <t>If you want to add a blank row between each grouped item, click a cell in the PivotTable, select the PivotTable Tools Design tab on the ribbon, click Blank Rows, and then click Insert Blank Line After</t>
  </si>
  <si>
    <t>Each Item. If you want to hide subtotals or grand totals, first select the PivotTable Tools Design tab.</t>
  </si>
  <si>
    <t>Then select Subtotals and click Do Not Show Subtotals, or select Grand Totals and click Off For Rows And Columns.</t>
  </si>
  <si>
    <t>■ How do I apply conditional formatting to a PivotTable?</t>
  </si>
  <si>
    <t>One problem you’ll encounter is that subtotals and grand totals will have large data bars and also make the other data bars smaller than they should be.</t>
  </si>
  <si>
    <t>On the Home tab, click Conditional Formatting followed by Data Bars, and then choose More Rules. You will see the New Formatting Rule dialog box.</t>
  </si>
  <si>
    <t>And you select the third option.</t>
  </si>
  <si>
    <t>■ How can I update my calculations when I add new data?</t>
  </si>
  <si>
    <t>If the data in your original set of rows changes, you can update your PivotTable to include the data changes by right-clicking the table and selecting Refresh.</t>
  </si>
  <si>
    <t>You can also select Refresh from the Analyze tab (in the Data group) or Refresh from the Data tab (in the Connections group)</t>
  </si>
  <si>
    <t>If you want data you add to be automatically included in your PivotTable calculations when you refresh it, you should convert your data into a Table.</t>
  </si>
  <si>
    <t>If you want to change the range of data used to create a PivotTable, you can always select Change Data Source on the Analyze tab (in the Data group). You can also move the table to a different location</t>
  </si>
  <si>
    <t>by selecting Move PivotTable in the Analyze tab’s Actions group.</t>
  </si>
  <si>
    <t>■ What is a calculated field and calculated item?</t>
  </si>
  <si>
    <r>
      <rPr>
        <b/>
        <sz val="9"/>
        <color theme="1"/>
        <rFont val="Segoe UI"/>
        <family val="2"/>
      </rPr>
      <t>Calculated field</t>
    </r>
    <r>
      <rPr>
        <sz val="11"/>
        <color theme="1"/>
        <rFont val="Calibri"/>
        <family val="2"/>
        <scheme val="minor"/>
      </rPr>
      <t xml:space="preserve"> is a new field created from other fields in the PivotTable. If your PivotTable source is a worksheet table, an alternative to using a calculated field is to add a new column to the table and</t>
    </r>
  </si>
  <si>
    <t>create a formula to perform the desired calculation. A calculated field must reside in the Values area of the PivotTable. You can’t use a calculated field in the Columns area, in the Rows area, or in the Filter area.</t>
  </si>
  <si>
    <t>To create a Calculated field,</t>
  </si>
  <si>
    <t>select a cell anywhere within the data area of the PivotTable,</t>
  </si>
  <si>
    <t>and then choose Fields, Items, &amp; Sets from the Analyze tab (in the Calculations group).</t>
  </si>
  <si>
    <t>Next, choose Calculated Field to display the Insert Calculated Field dialog box.</t>
  </si>
  <si>
    <r>
      <rPr>
        <b/>
        <sz val="9"/>
        <color theme="1"/>
        <rFont val="Segoe UI"/>
        <family val="2"/>
      </rPr>
      <t>Calculated item</t>
    </r>
    <r>
      <rPr>
        <sz val="11"/>
        <color theme="1"/>
        <rFont val="Calibri"/>
        <family val="2"/>
        <scheme val="minor"/>
      </rPr>
      <t xml:space="preserve"> is a new item or row created that uses the contents of other items within a field of the PivotTable. If your PivotTable source is a worksheet table, an alternative to using a calculated item is to insert</t>
    </r>
  </si>
  <si>
    <t>one or more rows and write formulas that use values in other rows. A calculated item must reside in the Columns area, Rows area, or Filters area of a PivotTable. You can’t use a calculated item in the Values area.</t>
  </si>
  <si>
    <t>The formulas used to create calculated fields and calculated items aren’t standard Excel formulas. In other words, you don’t enter the formulas into cells. Rather, you enter these</t>
  </si>
  <si>
    <t>formulas into a dialog box, and they’re stored along with the PivotTable data.</t>
  </si>
  <si>
    <t>To create a calculated item,</t>
  </si>
  <si>
    <t>you should select an item in the row area of the PivotTable, not an item in the body of the PivotTable. Then, on the Analyze tab, in the Calculations group, select Fields, Items, &amp; Sets, followed by Calculated Item.</t>
  </si>
  <si>
    <t>■ How do I group items in a PivotTable?</t>
  </si>
  <si>
    <t>To create a group, select the items you want to group, right-click the selection, and then choose Group.</t>
  </si>
  <si>
    <t>You can disband a group by right-clicking a grouped cell and then selecting the Ungroup option.</t>
  </si>
  <si>
    <t>You can group nonadjacent selections by holding down the Ctrl key while you select nonadjacent rows or columns.</t>
  </si>
  <si>
    <t>With numerical values or dates in a row field, you can group by number or dates in arbitrary intervals.</t>
  </si>
  <si>
    <t>■ What is drilling down?</t>
  </si>
  <si>
    <t>When you double-click a cell in a PivotTable to display all the detailed data that’s summarized in that field, you’re drilling down.</t>
  </si>
  <si>
    <t>■ How can I use the Timeline feature to summarize data during different time periods?</t>
  </si>
  <si>
    <t>Excel 2013 introduced a wonderful new feature, Timeline, which allows you to easily filter your PivotTable</t>
  </si>
  <si>
    <t>based on time periods. You can select any subset of consecutive years, quarters, months,</t>
  </si>
  <si>
    <t>or days in your data, and the Timeline feature ensures that all the PivotTable calculations will include</t>
  </si>
  <si>
    <t>spreadsheet rows only from the selected time period.</t>
  </si>
  <si>
    <t>■ How can I easily use the report filter to create multiple PivotTables?</t>
  </si>
  <si>
    <t>Suppose, for example, you want to create a separate PivotTable based on certain Items you select. Select a cell within the PivotTable.</t>
  </si>
  <si>
    <t>Go to the Field pane drag the Field that contains the Items you want to filter into Filters area.</t>
  </si>
  <si>
    <t>Then in the Filter on top of the PivotTable filter the Items.</t>
  </si>
  <si>
    <t>From the upper left-hand portion of the Analyze tab, select Options in the PivotTable group then Show Report Filter Pages.</t>
  </si>
  <si>
    <t>Then select the field you want to create the PivotTable for.</t>
  </si>
  <si>
    <t>■ How can I easily change the format in a pivot table?</t>
  </si>
  <si>
    <t>If you want to change the format of an entire column field, simply double-click the column heading and select Number Format in the Value Field Settings dialog box. Then apply the format you want</t>
  </si>
  <si>
    <t>in the Format Cells dialog box, and click OK in both dialog boxes.</t>
  </si>
  <si>
    <t>From any cell in a PivotTable, you can click the Design tab on the ribbon to reveal many PivotTable styles.</t>
  </si>
  <si>
    <t>Financial Year</t>
  </si>
  <si>
    <t>Shipping ID</t>
  </si>
  <si>
    <t>Country</t>
  </si>
  <si>
    <t>Account Manager</t>
  </si>
  <si>
    <t>Cargo Type</t>
  </si>
  <si>
    <t>Fees</t>
  </si>
  <si>
    <t>Using the Data on the right, build a dynamic Dashboard</t>
  </si>
  <si>
    <t xml:space="preserve">1-GP06N2 </t>
  </si>
  <si>
    <t>UAE</t>
  </si>
  <si>
    <t>Domestic</t>
  </si>
  <si>
    <t>showing the various key metric</t>
  </si>
  <si>
    <t xml:space="preserve">1-G6A3TR </t>
  </si>
  <si>
    <t>USA</t>
  </si>
  <si>
    <t xml:space="preserve">1-DWU0FV </t>
  </si>
  <si>
    <t xml:space="preserve">1) </t>
  </si>
  <si>
    <t>Top 5 Countries</t>
  </si>
  <si>
    <t xml:space="preserve">1-ERBDEH </t>
  </si>
  <si>
    <t>Import</t>
  </si>
  <si>
    <t>CHART: COLUMN CHART</t>
  </si>
  <si>
    <t xml:space="preserve">1-ERN5J3 </t>
  </si>
  <si>
    <t>Taiwan</t>
  </si>
  <si>
    <t xml:space="preserve">2S-F65CF </t>
  </si>
  <si>
    <t>Finland</t>
  </si>
  <si>
    <t xml:space="preserve">2) </t>
  </si>
  <si>
    <t>Top 3 Managers</t>
  </si>
  <si>
    <t xml:space="preserve">1-ERITW1 </t>
  </si>
  <si>
    <t>CHART: BAR CHART</t>
  </si>
  <si>
    <t xml:space="preserve">1-HY3I4F </t>
  </si>
  <si>
    <t xml:space="preserve">1-I0UT45 </t>
  </si>
  <si>
    <t>3)</t>
  </si>
  <si>
    <t>Cargo Analysis</t>
  </si>
  <si>
    <t xml:space="preserve">1-ERBD4H </t>
  </si>
  <si>
    <t xml:space="preserve">1-ERN5H5 </t>
  </si>
  <si>
    <t>Australia</t>
  </si>
  <si>
    <t>Export</t>
  </si>
  <si>
    <t xml:space="preserve">1-GJYNX1 </t>
  </si>
  <si>
    <t>4)</t>
  </si>
  <si>
    <t>Port Analysis</t>
  </si>
  <si>
    <t xml:space="preserve">1-DR3OYX </t>
  </si>
  <si>
    <t>Sweden</t>
  </si>
  <si>
    <t xml:space="preserve">1-GST5PB </t>
  </si>
  <si>
    <t xml:space="preserve">1-I3M0ZD </t>
  </si>
  <si>
    <t>5)</t>
  </si>
  <si>
    <t xml:space="preserve">1-FHYH7X </t>
  </si>
  <si>
    <t>Switzerland</t>
  </si>
  <si>
    <t>CHART: LINE CHART WITH MAKERS</t>
  </si>
  <si>
    <t xml:space="preserve">1-HWHD8F </t>
  </si>
  <si>
    <t xml:space="preserve">1-IAJBO9 </t>
  </si>
  <si>
    <t xml:space="preserve">1-FSQYWL </t>
  </si>
  <si>
    <t xml:space="preserve">1-FHYH9F </t>
  </si>
  <si>
    <t>Malaysia</t>
  </si>
  <si>
    <t xml:space="preserve">1-I35UWN </t>
  </si>
  <si>
    <t>Argentina</t>
  </si>
  <si>
    <t xml:space="preserve">1-FEAXKJ </t>
  </si>
  <si>
    <t xml:space="preserve">1-ERBD4R </t>
  </si>
  <si>
    <t xml:space="preserve">1-H3S503 </t>
  </si>
  <si>
    <t xml:space="preserve">1-ERN5A7 </t>
  </si>
  <si>
    <t>Andorra</t>
  </si>
  <si>
    <t xml:space="preserve">1-DR3P0J </t>
  </si>
  <si>
    <t>Singapore</t>
  </si>
  <si>
    <t xml:space="preserve">1-FWW1UH </t>
  </si>
  <si>
    <t xml:space="preserve">1-ERBD83 </t>
  </si>
  <si>
    <t xml:space="preserve">1-G5RVMZ </t>
  </si>
  <si>
    <t xml:space="preserve">1-I1XYTL </t>
  </si>
  <si>
    <t xml:space="preserve">1-GDEX5U </t>
  </si>
  <si>
    <t xml:space="preserve">1-ERITOT </t>
  </si>
  <si>
    <t>Korea, South</t>
  </si>
  <si>
    <t xml:space="preserve">1-FKE8LX </t>
  </si>
  <si>
    <t xml:space="preserve">1-G6WIJ8 </t>
  </si>
  <si>
    <t xml:space="preserve">1-HVAU7V </t>
  </si>
  <si>
    <t xml:space="preserve">1-ERN6QP </t>
  </si>
  <si>
    <t xml:space="preserve">1-ERN5E3 </t>
  </si>
  <si>
    <t xml:space="preserve">1-HUCB8N </t>
  </si>
  <si>
    <t xml:space="preserve">1-ERD34P </t>
  </si>
  <si>
    <t xml:space="preserve">1-HXGI2Z </t>
  </si>
  <si>
    <t xml:space="preserve">1-F844NH </t>
  </si>
  <si>
    <t xml:space="preserve">1-HY02WL </t>
  </si>
  <si>
    <t xml:space="preserve">1-FRM17T </t>
  </si>
  <si>
    <t xml:space="preserve">1-HZ6OLA </t>
  </si>
  <si>
    <t xml:space="preserve">1-ED2WZP </t>
  </si>
  <si>
    <t xml:space="preserve">1-G5GKUT </t>
  </si>
  <si>
    <t xml:space="preserve">1-HY37U5 </t>
  </si>
  <si>
    <t xml:space="preserve">1-HY2AAN </t>
  </si>
  <si>
    <t xml:space="preserve">1-FH74UX </t>
  </si>
  <si>
    <t>Kenya</t>
  </si>
  <si>
    <t xml:space="preserve">1-FNL51M </t>
  </si>
  <si>
    <t xml:space="preserve">1-GCJEWH </t>
  </si>
  <si>
    <t xml:space="preserve">1-I58CWV </t>
  </si>
  <si>
    <t xml:space="preserve">1-GG3AL2 </t>
  </si>
  <si>
    <t xml:space="preserve">1-HUYRHL </t>
  </si>
  <si>
    <t xml:space="preserve">1-G4A8ZR </t>
  </si>
  <si>
    <t xml:space="preserve">1-HYXEOW </t>
  </si>
  <si>
    <t xml:space="preserve">1-HYXEPE </t>
  </si>
  <si>
    <t xml:space="preserve">1-GV8MEP </t>
  </si>
  <si>
    <t>Norway</t>
  </si>
  <si>
    <t xml:space="preserve">1-FSALOR </t>
  </si>
  <si>
    <t xml:space="preserve">1-HZ6ONP </t>
  </si>
  <si>
    <t xml:space="preserve">1-HYXEP5 </t>
  </si>
  <si>
    <t xml:space="preserve">1-FIZ4EF </t>
  </si>
  <si>
    <t xml:space="preserve">1-H3M3N8 </t>
  </si>
  <si>
    <t xml:space="preserve">1-HYXEPN </t>
  </si>
  <si>
    <t xml:space="preserve">1-FNOHK8 </t>
  </si>
  <si>
    <t xml:space="preserve">1-H1LFMP </t>
  </si>
  <si>
    <t>Austria</t>
  </si>
  <si>
    <t xml:space="preserve">1-FJ347X </t>
  </si>
  <si>
    <t xml:space="preserve">1-I2HEG9 </t>
  </si>
  <si>
    <t xml:space="preserve">1-I2HEF2 </t>
  </si>
  <si>
    <t xml:space="preserve">1-I4S9Q1 </t>
  </si>
  <si>
    <t xml:space="preserve">1-HZJO51 </t>
  </si>
  <si>
    <t>Chile</t>
  </si>
  <si>
    <t xml:space="preserve">1-HNRG7C </t>
  </si>
  <si>
    <t xml:space="preserve">1-HYR0XP </t>
  </si>
  <si>
    <t xml:space="preserve">1-GDDPEZ </t>
  </si>
  <si>
    <t xml:space="preserve">1-GG3ALM </t>
  </si>
  <si>
    <t>Canada</t>
  </si>
  <si>
    <t xml:space="preserve">1-I6BUHT </t>
  </si>
  <si>
    <t xml:space="preserve">1-FRH6PB </t>
  </si>
  <si>
    <t xml:space="preserve">1-I6A8SV </t>
  </si>
  <si>
    <t>Japan</t>
  </si>
  <si>
    <t xml:space="preserve">1-FOHLJ5 </t>
  </si>
  <si>
    <t xml:space="preserve">1-I3IOKX </t>
  </si>
  <si>
    <t xml:space="preserve">1-G8NOC3 </t>
  </si>
  <si>
    <t xml:space="preserve">1-FWCY1H </t>
  </si>
  <si>
    <t xml:space="preserve">1-I4THVC </t>
  </si>
  <si>
    <t xml:space="preserve">1-GMILXV </t>
  </si>
  <si>
    <t xml:space="preserve">1-F7C7OB </t>
  </si>
  <si>
    <t xml:space="preserve">1-I4LBX5 </t>
  </si>
  <si>
    <t xml:space="preserve">1-DQTLWQ </t>
  </si>
  <si>
    <t xml:space="preserve">1-HW95E9 </t>
  </si>
  <si>
    <t xml:space="preserve">1-FNOHLW </t>
  </si>
  <si>
    <t xml:space="preserve">1-GG3A9U </t>
  </si>
  <si>
    <t xml:space="preserve">1-G48HXN </t>
  </si>
  <si>
    <t xml:space="preserve">1-DQTLVP </t>
  </si>
  <si>
    <t xml:space="preserve">1-I5GE9J </t>
  </si>
  <si>
    <t xml:space="preserve">1-FJ0V6F </t>
  </si>
  <si>
    <t xml:space="preserve">1-IAPGWF </t>
  </si>
  <si>
    <t xml:space="preserve">1-I6C8VV </t>
  </si>
  <si>
    <t xml:space="preserve">1-HYZZVT </t>
  </si>
  <si>
    <t xml:space="preserve">1-HRXONI </t>
  </si>
  <si>
    <t xml:space="preserve">1-HZ45TL </t>
  </si>
  <si>
    <t xml:space="preserve">1-GG3AKB </t>
  </si>
  <si>
    <t xml:space="preserve">1-I42YZ3 </t>
  </si>
  <si>
    <t xml:space="preserve">1-EPIZTP </t>
  </si>
  <si>
    <t>Bahrain</t>
  </si>
  <si>
    <t xml:space="preserve">1-I4S9QY </t>
  </si>
  <si>
    <t>Denmark</t>
  </si>
  <si>
    <t xml:space="preserve">1-GDJCZB </t>
  </si>
  <si>
    <t xml:space="preserve">1-HXKSET </t>
  </si>
  <si>
    <t xml:space="preserve">1-HZ4JPB </t>
  </si>
  <si>
    <t>Hong Kong, (China)</t>
  </si>
  <si>
    <t xml:space="preserve">1-DR3OXB </t>
  </si>
  <si>
    <t xml:space="preserve">1-FJM5OL </t>
  </si>
  <si>
    <t xml:space="preserve">1-FK4IQP </t>
  </si>
  <si>
    <t xml:space="preserve">1-FNOHG3 </t>
  </si>
  <si>
    <t xml:space="preserve">1-I6BUIX </t>
  </si>
  <si>
    <t>Belgium</t>
  </si>
  <si>
    <t xml:space="preserve">1-I6C8WF </t>
  </si>
  <si>
    <t xml:space="preserve">1-I2K7O5 </t>
  </si>
  <si>
    <t xml:space="preserve">1-HXU8CV </t>
  </si>
  <si>
    <t xml:space="preserve">1-ERBD6Z </t>
  </si>
  <si>
    <t xml:space="preserve">1-I46X7U </t>
  </si>
  <si>
    <t xml:space="preserve">1-FPP033 </t>
  </si>
  <si>
    <t xml:space="preserve">1-I46X8X </t>
  </si>
  <si>
    <t xml:space="preserve">1-GPYYON </t>
  </si>
  <si>
    <t xml:space="preserve">1-GHJ7FH </t>
  </si>
  <si>
    <t xml:space="preserve">1-GDDNRT </t>
  </si>
  <si>
    <t xml:space="preserve">1-F5YSKT </t>
  </si>
  <si>
    <t xml:space="preserve">1-F16UCV </t>
  </si>
  <si>
    <t xml:space="preserve">1-GBB0CS </t>
  </si>
  <si>
    <t xml:space="preserve">1-ERITU3 </t>
  </si>
  <si>
    <t xml:space="preserve">1-ERN6RJ </t>
  </si>
  <si>
    <t xml:space="preserve">1-GBTNM9 </t>
  </si>
  <si>
    <t xml:space="preserve">1-GY5HWA </t>
  </si>
  <si>
    <t xml:space="preserve">1-HJJ4ZI </t>
  </si>
  <si>
    <t xml:space="preserve">1-GB4Y72 </t>
  </si>
  <si>
    <t xml:space="preserve">1-FKW3VP </t>
  </si>
  <si>
    <t xml:space="preserve">1-GEUWL1 </t>
  </si>
  <si>
    <t xml:space="preserve">1-AY7CHG </t>
  </si>
  <si>
    <t xml:space="preserve">1-ERD32R </t>
  </si>
  <si>
    <t xml:space="preserve">1-GA47Y7 </t>
  </si>
  <si>
    <t xml:space="preserve">2S-7UNB6 </t>
  </si>
  <si>
    <t xml:space="preserve">1-ERN5TX </t>
  </si>
  <si>
    <t xml:space="preserve">1-I8I2AF </t>
  </si>
  <si>
    <t xml:space="preserve">1-GB8BTV </t>
  </si>
  <si>
    <t xml:space="preserve">1-HZ6OMM </t>
  </si>
  <si>
    <t xml:space="preserve">1-ERN56L </t>
  </si>
  <si>
    <t xml:space="preserve">1-H1AY5K </t>
  </si>
  <si>
    <t xml:space="preserve">1-HV6RWX </t>
  </si>
  <si>
    <t xml:space="preserve">1-GBTNM1 </t>
  </si>
  <si>
    <t xml:space="preserve">1-GB4Y7C </t>
  </si>
  <si>
    <t xml:space="preserve">1-FKW3ZB </t>
  </si>
  <si>
    <t xml:space="preserve">1-FKTROV </t>
  </si>
  <si>
    <t xml:space="preserve">1-H097A4 </t>
  </si>
  <si>
    <t xml:space="preserve">1-EYWBYO </t>
  </si>
  <si>
    <t xml:space="preserve">1-GWMV3K </t>
  </si>
  <si>
    <t xml:space="preserve">1-G4W589 </t>
  </si>
  <si>
    <t xml:space="preserve">1-GN3KG5 </t>
  </si>
  <si>
    <t xml:space="preserve">1-FQQM6Q </t>
  </si>
  <si>
    <t xml:space="preserve">1-ERBD8D </t>
  </si>
  <si>
    <t xml:space="preserve">1-ERD2VJ </t>
  </si>
  <si>
    <t xml:space="preserve">1-F16UA2 </t>
  </si>
  <si>
    <t xml:space="preserve">1-I5QJZ9 </t>
  </si>
  <si>
    <t xml:space="preserve">1-ERN57Z </t>
  </si>
  <si>
    <t xml:space="preserve">2S-X03B1 </t>
  </si>
  <si>
    <t xml:space="preserve">1-ERBDFV </t>
  </si>
  <si>
    <t xml:space="preserve">1-ERD34Z </t>
  </si>
  <si>
    <t xml:space="preserve">1-EDEYPW </t>
  </si>
  <si>
    <t xml:space="preserve">1-EBJ4D8 </t>
  </si>
  <si>
    <t xml:space="preserve">1-EBJ4CY </t>
  </si>
  <si>
    <t xml:space="preserve">1-EZMMBB </t>
  </si>
  <si>
    <t xml:space="preserve">1-GST5O9 </t>
  </si>
  <si>
    <t xml:space="preserve">1-HU8G0P </t>
  </si>
  <si>
    <t xml:space="preserve">1-I81AH7 </t>
  </si>
  <si>
    <t xml:space="preserve">1-GME1J9 </t>
  </si>
  <si>
    <t xml:space="preserve">1-GLBJLF </t>
  </si>
  <si>
    <t xml:space="preserve">1-CC7057 </t>
  </si>
  <si>
    <t xml:space="preserve">1-H2IOX8 </t>
  </si>
  <si>
    <t xml:space="preserve">1-GA04PB </t>
  </si>
  <si>
    <t xml:space="preserve">1-ERN5WP </t>
  </si>
  <si>
    <t xml:space="preserve">1-F6PFXH </t>
  </si>
  <si>
    <t xml:space="preserve">1-ERN59N </t>
  </si>
  <si>
    <t xml:space="preserve">1-GHKMKL </t>
  </si>
  <si>
    <t xml:space="preserve">1-ERN5LL </t>
  </si>
  <si>
    <t xml:space="preserve">1-GR852Q </t>
  </si>
  <si>
    <t xml:space="preserve">1-ERD377 </t>
  </si>
  <si>
    <t xml:space="preserve">1-FGXBIC </t>
  </si>
  <si>
    <t xml:space="preserve">1-GA368X </t>
  </si>
  <si>
    <t xml:space="preserve">1-GY5HVA </t>
  </si>
  <si>
    <t xml:space="preserve">1-DWU8DZ </t>
  </si>
  <si>
    <t xml:space="preserve">1-H6E0AH </t>
  </si>
  <si>
    <t xml:space="preserve">1-GB36S7 </t>
  </si>
  <si>
    <t xml:space="preserve">1-ERD2Z5 </t>
  </si>
  <si>
    <t xml:space="preserve">1-FP73C9 </t>
  </si>
  <si>
    <t xml:space="preserve">1-I3Z449 </t>
  </si>
  <si>
    <t xml:space="preserve">1-ERN5BB </t>
  </si>
  <si>
    <t xml:space="preserve">1-GA369D </t>
  </si>
  <si>
    <t xml:space="preserve">1-GEL7HL </t>
  </si>
  <si>
    <t xml:space="preserve">1-ERIU2F </t>
  </si>
  <si>
    <t xml:space="preserve">1-GKQIRT </t>
  </si>
  <si>
    <t xml:space="preserve">1-F9XHEA </t>
  </si>
  <si>
    <t xml:space="preserve">1-I46X7F </t>
  </si>
  <si>
    <t xml:space="preserve">1-ERD2YL </t>
  </si>
  <si>
    <t xml:space="preserve">1-I5GRKA </t>
  </si>
  <si>
    <t xml:space="preserve">1-GKP663 </t>
  </si>
  <si>
    <t xml:space="preserve">1-GO6ILK </t>
  </si>
  <si>
    <t xml:space="preserve">1-GO6IK7 </t>
  </si>
  <si>
    <t xml:space="preserve">1-I5GRJG </t>
  </si>
  <si>
    <t xml:space="preserve">1-I5GRM0 </t>
  </si>
  <si>
    <t xml:space="preserve">1-GJ1DF7 </t>
  </si>
  <si>
    <t xml:space="preserve">1-E79917 </t>
  </si>
  <si>
    <t xml:space="preserve">1-DR3OWR </t>
  </si>
  <si>
    <t xml:space="preserve">1-ERBDK1 </t>
  </si>
  <si>
    <t xml:space="preserve">1-ERN5GV </t>
  </si>
  <si>
    <t xml:space="preserve">1-G5HJJI </t>
  </si>
  <si>
    <t xml:space="preserve">1-HNGS0R </t>
  </si>
  <si>
    <t xml:space="preserve">1-HM3M25 </t>
  </si>
  <si>
    <t xml:space="preserve">1-G4W550 </t>
  </si>
  <si>
    <t xml:space="preserve">1-H8FBS6 </t>
  </si>
  <si>
    <t>France</t>
  </si>
  <si>
    <t xml:space="preserve">1-I2CXEH </t>
  </si>
  <si>
    <t xml:space="preserve">1-G4W57Q </t>
  </si>
  <si>
    <t xml:space="preserve">1-G8WSB9 </t>
  </si>
  <si>
    <t xml:space="preserve">1-ERN5BL </t>
  </si>
  <si>
    <t xml:space="preserve">1-GLFXH9 </t>
  </si>
  <si>
    <t xml:space="preserve">1-ERBD9R </t>
  </si>
  <si>
    <t xml:space="preserve">1-GN23TX </t>
  </si>
  <si>
    <t xml:space="preserve">1-FKTROB </t>
  </si>
  <si>
    <t xml:space="preserve">1-I0VZIJ </t>
  </si>
  <si>
    <t xml:space="preserve">1-GG0992 </t>
  </si>
  <si>
    <t xml:space="preserve">1-HGPGAH </t>
  </si>
  <si>
    <t xml:space="preserve">1-I2HEFQ </t>
  </si>
  <si>
    <t xml:space="preserve">1-HSK2K9 </t>
  </si>
  <si>
    <t xml:space="preserve">1-GHNOI3 </t>
  </si>
  <si>
    <t xml:space="preserve">1-G8NLJJ </t>
  </si>
  <si>
    <t xml:space="preserve">1-CC708J </t>
  </si>
  <si>
    <t xml:space="preserve">1-I6HAYV </t>
  </si>
  <si>
    <t xml:space="preserve">1-DWVANH </t>
  </si>
  <si>
    <t xml:space="preserve">1-FWWXLO </t>
  </si>
  <si>
    <t xml:space="preserve">1-GG3AFX </t>
  </si>
  <si>
    <t xml:space="preserve">1-FOHLLW </t>
  </si>
  <si>
    <t xml:space="preserve">1-FOHLLD </t>
  </si>
  <si>
    <t xml:space="preserve">1-GG3AM7 </t>
  </si>
  <si>
    <t xml:space="preserve">1-HZ2AW5 </t>
  </si>
  <si>
    <t xml:space="preserve">1-GJYYUE </t>
  </si>
  <si>
    <t xml:space="preserve">1-FP2H89 </t>
  </si>
  <si>
    <t xml:space="preserve">1-HZ6OJX </t>
  </si>
  <si>
    <t xml:space="preserve">1-I2HEG0 </t>
  </si>
  <si>
    <t xml:space="preserve">1-HZ48YN </t>
  </si>
  <si>
    <t xml:space="preserve">1-FWBO8L </t>
  </si>
  <si>
    <t xml:space="preserve">1-I4LBW9 </t>
  </si>
  <si>
    <t xml:space="preserve">1-HRXOTI </t>
  </si>
  <si>
    <t xml:space="preserve">1-I6C8WZ </t>
  </si>
  <si>
    <t xml:space="preserve">1-G8LZHJ </t>
  </si>
  <si>
    <t xml:space="preserve">1-GG3ALX </t>
  </si>
  <si>
    <t xml:space="preserve">1-HXHH6B </t>
  </si>
  <si>
    <t xml:space="preserve">1-EUNRWF </t>
  </si>
  <si>
    <t xml:space="preserve">1-HZ20DJ </t>
  </si>
  <si>
    <t xml:space="preserve">1-DX26ZI </t>
  </si>
  <si>
    <t>Kingdom of Saudi Arabia</t>
  </si>
  <si>
    <t xml:space="preserve">1-FM08FV </t>
  </si>
  <si>
    <t xml:space="preserve">1-H3SI23 </t>
  </si>
  <si>
    <t xml:space="preserve">1-GDJD1H </t>
  </si>
  <si>
    <t xml:space="preserve">1-IB9RJR </t>
  </si>
  <si>
    <t xml:space="preserve">1-FNOHJ6 </t>
  </si>
  <si>
    <t xml:space="preserve">1-GX9SA5 </t>
  </si>
  <si>
    <t xml:space="preserve">1-FOGSX6 </t>
  </si>
  <si>
    <t xml:space="preserve">1-GJIH2K </t>
  </si>
  <si>
    <t xml:space="preserve">1-HUEAJB </t>
  </si>
  <si>
    <t xml:space="preserve">1-FHUSXX </t>
  </si>
  <si>
    <t xml:space="preserve">1-DD65LD </t>
  </si>
  <si>
    <t>Antigua &amp; Barbuda</t>
  </si>
  <si>
    <t xml:space="preserve">1-I6BLIH </t>
  </si>
  <si>
    <t xml:space="preserve">1-DQTLY1 </t>
  </si>
  <si>
    <t xml:space="preserve">1-I6F06L </t>
  </si>
  <si>
    <t xml:space="preserve">1-FJDRWP </t>
  </si>
  <si>
    <t xml:space="preserve">1-FOG1QT </t>
  </si>
  <si>
    <t xml:space="preserve">1-HY7BP7 </t>
  </si>
  <si>
    <t xml:space="preserve">1-GA0AX9 </t>
  </si>
  <si>
    <t xml:space="preserve">1-FOHLJG </t>
  </si>
  <si>
    <t xml:space="preserve">1-E5WAAP </t>
  </si>
  <si>
    <t xml:space="preserve">1-I5SWET </t>
  </si>
  <si>
    <t xml:space="preserve">1-GL6Y9F </t>
  </si>
  <si>
    <t xml:space="preserve">1-DQTLVI </t>
  </si>
  <si>
    <t xml:space="preserve">1-FJCTKN </t>
  </si>
  <si>
    <t xml:space="preserve">1-FUX5Y9 </t>
  </si>
  <si>
    <t xml:space="preserve">1-GAC45T </t>
  </si>
  <si>
    <t xml:space="preserve">1-GDERVZ </t>
  </si>
  <si>
    <t xml:space="preserve">1-DQTLTX </t>
  </si>
  <si>
    <t xml:space="preserve">1-I6A8S1 </t>
  </si>
  <si>
    <t xml:space="preserve">1-GA5FTM </t>
  </si>
  <si>
    <t xml:space="preserve">1-GC0TV3 </t>
  </si>
  <si>
    <t xml:space="preserve">1-I6AKYN </t>
  </si>
  <si>
    <t xml:space="preserve">1-DR3P14 </t>
  </si>
  <si>
    <t xml:space="preserve">1-HQMRYF </t>
  </si>
  <si>
    <t xml:space="preserve">1-GHGUNJ </t>
  </si>
  <si>
    <t xml:space="preserve">1-I0XNSJ </t>
  </si>
  <si>
    <t xml:space="preserve">1-I58COD </t>
  </si>
  <si>
    <t>Bermuda</t>
  </si>
  <si>
    <t xml:space="preserve">1-DQTLY8 </t>
  </si>
  <si>
    <t xml:space="preserve">1-DQTLUI </t>
  </si>
  <si>
    <t xml:space="preserve">1-GCYWKH </t>
  </si>
  <si>
    <t xml:space="preserve">1-HYZZUZ </t>
  </si>
  <si>
    <t xml:space="preserve">1-FK1VN5 </t>
  </si>
  <si>
    <t xml:space="preserve">1-FNL522 </t>
  </si>
  <si>
    <t xml:space="preserve">1-G4TCLJ </t>
  </si>
  <si>
    <t xml:space="preserve">1-DQTLW3 </t>
  </si>
  <si>
    <t xml:space="preserve">1-FFYGKB </t>
  </si>
  <si>
    <t xml:space="preserve">2N+19R-P6 </t>
  </si>
  <si>
    <t xml:space="preserve">1-H841E3 </t>
  </si>
  <si>
    <t xml:space="preserve">1-G3CCPF </t>
  </si>
  <si>
    <t xml:space="preserve">1-FQ3BYV </t>
  </si>
  <si>
    <t xml:space="preserve">1-I4LBN3 </t>
  </si>
  <si>
    <t xml:space="preserve">1-G3CMSF </t>
  </si>
  <si>
    <t xml:space="preserve">1-GC0TVB </t>
  </si>
  <si>
    <t xml:space="preserve">1-EBHGXV </t>
  </si>
  <si>
    <t xml:space="preserve">1-GFJX1J </t>
  </si>
  <si>
    <t xml:space="preserve">1-GB5W93 </t>
  </si>
  <si>
    <t xml:space="preserve">1-FJQZ83 </t>
  </si>
  <si>
    <t xml:space="preserve">1-H3S59T </t>
  </si>
  <si>
    <t xml:space="preserve">2N+8C-5ZU </t>
  </si>
  <si>
    <t xml:space="preserve">1-GG3ALC </t>
  </si>
  <si>
    <t xml:space="preserve">1-I10AC5 </t>
  </si>
  <si>
    <t xml:space="preserve">1-GDJD3W </t>
  </si>
  <si>
    <t xml:space="preserve">1-F1449N </t>
  </si>
  <si>
    <t xml:space="preserve">1-GA5FTF </t>
  </si>
  <si>
    <t xml:space="preserve">1-GT9KL1 </t>
  </si>
  <si>
    <t xml:space="preserve">1-EJN7BT </t>
  </si>
  <si>
    <t xml:space="preserve">1-GCFKGZ </t>
  </si>
  <si>
    <t xml:space="preserve">1-I4S9V4 </t>
  </si>
  <si>
    <t xml:space="preserve">1-GCJEYL </t>
  </si>
  <si>
    <t xml:space="preserve">1-GG3AI0 </t>
  </si>
  <si>
    <t xml:space="preserve">1-GJIHAX </t>
  </si>
  <si>
    <t xml:space="preserve">1-I4S9RV </t>
  </si>
  <si>
    <t xml:space="preserve">1-DQTLUB </t>
  </si>
  <si>
    <t xml:space="preserve">1-EOH22T </t>
  </si>
  <si>
    <t xml:space="preserve">1-HJ00J7 </t>
  </si>
  <si>
    <t xml:space="preserve">1-I58CVQ </t>
  </si>
  <si>
    <t xml:space="preserve">1-DQTLVB </t>
  </si>
  <si>
    <t xml:space="preserve">1-FJMNGL </t>
  </si>
  <si>
    <t xml:space="preserve">1-FOHLIK </t>
  </si>
  <si>
    <t xml:space="preserve">1-I2HEGJ </t>
  </si>
  <si>
    <t xml:space="preserve">1-FNIMCT </t>
  </si>
  <si>
    <t xml:space="preserve">1-HM72IP </t>
  </si>
  <si>
    <t xml:space="preserve">1-DQTLU4 </t>
  </si>
  <si>
    <t xml:space="preserve">1-FOHLKL </t>
  </si>
  <si>
    <t xml:space="preserve">1-FJ0X6N </t>
  </si>
  <si>
    <t xml:space="preserve">1-H69H9N </t>
  </si>
  <si>
    <t xml:space="preserve">1-FOHLKV </t>
  </si>
  <si>
    <t xml:space="preserve">1-F9XHER </t>
  </si>
  <si>
    <t xml:space="preserve">1-G4A8YT </t>
  </si>
  <si>
    <t xml:space="preserve">1-E6VIN2 </t>
  </si>
  <si>
    <t xml:space="preserve">1-I575FN </t>
  </si>
  <si>
    <t xml:space="preserve">1-GCFKJZ </t>
  </si>
  <si>
    <t xml:space="preserve">1-GDAIB2 </t>
  </si>
  <si>
    <t xml:space="preserve">1-FQPMG2 </t>
  </si>
  <si>
    <t xml:space="preserve">1-I6D531 </t>
  </si>
  <si>
    <t xml:space="preserve">1-I6F06V </t>
  </si>
  <si>
    <t xml:space="preserve">1-I4THS7 </t>
  </si>
  <si>
    <t xml:space="preserve">1-GBSK8X </t>
  </si>
  <si>
    <t xml:space="preserve">1-GB4QTZ </t>
  </si>
  <si>
    <t xml:space="preserve">1-I8NKLV </t>
  </si>
  <si>
    <t xml:space="preserve">1-GJYYTC </t>
  </si>
  <si>
    <t xml:space="preserve">1-DWVBEF </t>
  </si>
  <si>
    <t xml:space="preserve">1-HXOHFZ </t>
  </si>
  <si>
    <t xml:space="preserve">1-I352MP </t>
  </si>
  <si>
    <t xml:space="preserve">1-HO8E43 </t>
  </si>
  <si>
    <t xml:space="preserve">1-FKC58O </t>
  </si>
  <si>
    <t xml:space="preserve">1-FOHLL5 </t>
  </si>
  <si>
    <t xml:space="preserve">1-HZ2L8D </t>
  </si>
  <si>
    <t xml:space="preserve">1-FK4IQD </t>
  </si>
  <si>
    <t xml:space="preserve">1-H1OWBB </t>
  </si>
  <si>
    <t xml:space="preserve">1-HO6L2L </t>
  </si>
  <si>
    <t xml:space="preserve">1-HSMUXL </t>
  </si>
  <si>
    <t xml:space="preserve">1-I6A8TP </t>
  </si>
  <si>
    <t xml:space="preserve">1-HABR0L </t>
  </si>
  <si>
    <t xml:space="preserve">1-HZ24WB </t>
  </si>
  <si>
    <t xml:space="preserve">1-I5L49T </t>
  </si>
  <si>
    <t xml:space="preserve">1-FUX5YH </t>
  </si>
  <si>
    <t xml:space="preserve">1-FOHLKB </t>
  </si>
  <si>
    <t xml:space="preserve">1-FOHLHT </t>
  </si>
  <si>
    <t xml:space="preserve">1-FM34BJ </t>
  </si>
  <si>
    <t xml:space="preserve">1-FOHLJQ </t>
  </si>
  <si>
    <t xml:space="preserve">1-ERN5LB </t>
  </si>
  <si>
    <t xml:space="preserve">1-ERITZ3 </t>
  </si>
  <si>
    <t xml:space="preserve">1-GZV9Z5 </t>
  </si>
  <si>
    <t xml:space="preserve">1-E0ODMA </t>
  </si>
  <si>
    <t xml:space="preserve">1-F1DZE3 </t>
  </si>
  <si>
    <t xml:space="preserve">1-ERD2T1 </t>
  </si>
  <si>
    <t xml:space="preserve">1-FKE8LN </t>
  </si>
  <si>
    <t xml:space="preserve">1-ERITZN </t>
  </si>
  <si>
    <t xml:space="preserve">1-ERD2VT </t>
  </si>
  <si>
    <t xml:space="preserve">1-G3AFDJ </t>
  </si>
  <si>
    <t xml:space="preserve">1-G8FXHT </t>
  </si>
  <si>
    <t xml:space="preserve">1-FJDRKH </t>
  </si>
  <si>
    <t xml:space="preserve">1-ERN5LV </t>
  </si>
  <si>
    <t xml:space="preserve">1-GMS77B </t>
  </si>
  <si>
    <t xml:space="preserve">1-GA3695 </t>
  </si>
  <si>
    <t xml:space="preserve">1-FB39UD </t>
  </si>
  <si>
    <t xml:space="preserve">1-I37CPL </t>
  </si>
  <si>
    <t xml:space="preserve">1-ERN5QV </t>
  </si>
  <si>
    <t xml:space="preserve">1-HPOL3W </t>
  </si>
  <si>
    <t xml:space="preserve">1-I4I9WF </t>
  </si>
  <si>
    <t xml:space="preserve">1-FHYH8G </t>
  </si>
  <si>
    <t xml:space="preserve">1-ID2TGX </t>
  </si>
  <si>
    <t xml:space="preserve">1-ERD2R3 </t>
  </si>
  <si>
    <t xml:space="preserve">1-FOXN6H </t>
  </si>
  <si>
    <t xml:space="preserve">1-E0ODMJ </t>
  </si>
  <si>
    <t xml:space="preserve">1-F58UQH </t>
  </si>
  <si>
    <t xml:space="preserve">1-EPANZ6 </t>
  </si>
  <si>
    <t xml:space="preserve">1-I4KPBU </t>
  </si>
  <si>
    <t xml:space="preserve">1-HSMUXZ </t>
  </si>
  <si>
    <t xml:space="preserve">1-GPYYPB </t>
  </si>
  <si>
    <t xml:space="preserve">1-I6A8UJ </t>
  </si>
  <si>
    <t xml:space="preserve">1-GB8BU9 </t>
  </si>
  <si>
    <t xml:space="preserve">1-I4KPAO </t>
  </si>
  <si>
    <t xml:space="preserve">1-HYNA93 </t>
  </si>
  <si>
    <t xml:space="preserve">1-FQ1DZV </t>
  </si>
  <si>
    <t xml:space="preserve">1-FJ349L </t>
  </si>
  <si>
    <t xml:space="preserve">1-GC81IL </t>
  </si>
  <si>
    <t xml:space="preserve">1-GDLOEN </t>
  </si>
  <si>
    <t xml:space="preserve">1-DQTLUP </t>
  </si>
  <si>
    <t xml:space="preserve">1-HJ00I8 </t>
  </si>
  <si>
    <t xml:space="preserve">1-I5X1CB </t>
  </si>
  <si>
    <t xml:space="preserve">1-FK4INO </t>
  </si>
  <si>
    <t xml:space="preserve">1-I43KAV </t>
  </si>
  <si>
    <t xml:space="preserve">1-HZ1PGR </t>
  </si>
  <si>
    <t xml:space="preserve">1-I4KP9Q </t>
  </si>
  <si>
    <t xml:space="preserve">1-GK1DF1 </t>
  </si>
  <si>
    <t xml:space="preserve">1-GK6RUH </t>
  </si>
  <si>
    <t xml:space="preserve">1-GJVGVX </t>
  </si>
  <si>
    <t xml:space="preserve">1-GK2H2J </t>
  </si>
  <si>
    <t xml:space="preserve">1-GK4VYB </t>
  </si>
  <si>
    <t xml:space="preserve">1-HMDVSQ </t>
  </si>
  <si>
    <t xml:space="preserve">1-GKB30B </t>
  </si>
  <si>
    <t xml:space="preserve">1-I35R7L </t>
  </si>
  <si>
    <t xml:space="preserve">1-GK3CPZ </t>
  </si>
  <si>
    <t xml:space="preserve">1-GT0X6H </t>
  </si>
  <si>
    <t xml:space="preserve">1-HZ21RT </t>
  </si>
  <si>
    <t xml:space="preserve">1-GWYZKS </t>
  </si>
  <si>
    <t xml:space="preserve">1-FNJVBT </t>
  </si>
  <si>
    <t xml:space="preserve">1-H83UVT </t>
  </si>
  <si>
    <t xml:space="preserve">1-FSGUFN </t>
  </si>
  <si>
    <t xml:space="preserve">1-HZ1UWB </t>
  </si>
  <si>
    <t xml:space="preserve">1-GBSUBH </t>
  </si>
  <si>
    <t xml:space="preserve">1-I4LB7L </t>
  </si>
  <si>
    <t xml:space="preserve">1-FSGUEZ </t>
  </si>
  <si>
    <t xml:space="preserve">1-HZ1P71 </t>
  </si>
  <si>
    <t xml:space="preserve">1-GWYZKB </t>
  </si>
  <si>
    <t xml:space="preserve">1-HKMCWE </t>
  </si>
  <si>
    <t xml:space="preserve">1-FSGUFB </t>
  </si>
  <si>
    <t xml:space="preserve">1-EOH21Z </t>
  </si>
  <si>
    <t xml:space="preserve">1-HH27IF </t>
  </si>
  <si>
    <t xml:space="preserve">1-I5PTUT </t>
  </si>
  <si>
    <t xml:space="preserve">1-F6UDRL </t>
  </si>
  <si>
    <t xml:space="preserve">1-F9WQZ9 </t>
  </si>
  <si>
    <t xml:space="preserve">1-HV4BIZ </t>
  </si>
  <si>
    <t xml:space="preserve">1-F1D1Y7 </t>
  </si>
  <si>
    <t xml:space="preserve">1-I4IC8X </t>
  </si>
  <si>
    <t xml:space="preserve">1-F9XHE3 </t>
  </si>
  <si>
    <t xml:space="preserve">1-HVL5J3 </t>
  </si>
  <si>
    <t xml:space="preserve">1-DQTLT3 </t>
  </si>
  <si>
    <t xml:space="preserve">1-I2HEGX </t>
  </si>
  <si>
    <t xml:space="preserve">1-H66HBZ </t>
  </si>
  <si>
    <t xml:space="preserve">1-GV0BEJ </t>
  </si>
  <si>
    <t xml:space="preserve">1-F3245G </t>
  </si>
  <si>
    <t xml:space="preserve">1-HRXON8 </t>
  </si>
  <si>
    <t xml:space="preserve">1-GWO0F5 </t>
  </si>
  <si>
    <t xml:space="preserve">1-HRXOMY </t>
  </si>
  <si>
    <t xml:space="preserve">1-I5PYLD </t>
  </si>
  <si>
    <t xml:space="preserve">1-IAEVL7 </t>
  </si>
  <si>
    <t xml:space="preserve">1-I2A7N1 </t>
  </si>
  <si>
    <t xml:space="preserve">1-I9FFHR </t>
  </si>
  <si>
    <t xml:space="preserve">1-HUCBGP </t>
  </si>
  <si>
    <t xml:space="preserve">1-GWO0EG </t>
  </si>
  <si>
    <t xml:space="preserve">1-I5HW7W </t>
  </si>
  <si>
    <t xml:space="preserve">1-I2HEFG </t>
  </si>
  <si>
    <t xml:space="preserve">1-GWO0ER </t>
  </si>
  <si>
    <t xml:space="preserve">1-G8VQI7 </t>
  </si>
  <si>
    <t xml:space="preserve">1-HSTX9Z </t>
  </si>
  <si>
    <t xml:space="preserve">1-GCADD5 </t>
  </si>
  <si>
    <t xml:space="preserve">1-HZ4Z2X </t>
  </si>
  <si>
    <t xml:space="preserve">1-GCADBK </t>
  </si>
  <si>
    <t xml:space="preserve">1-GBUVC0 </t>
  </si>
  <si>
    <t xml:space="preserve">1-EPANYY </t>
  </si>
  <si>
    <t xml:space="preserve">1-EPIZU5 </t>
  </si>
  <si>
    <t xml:space="preserve">1-GCJF3U </t>
  </si>
  <si>
    <t xml:space="preserve">1-I4KOL2 </t>
  </si>
  <si>
    <t xml:space="preserve">1-GCADDI </t>
  </si>
  <si>
    <t xml:space="preserve">1-GDJCZY </t>
  </si>
  <si>
    <t xml:space="preserve">1-GCAD9A </t>
  </si>
  <si>
    <t xml:space="preserve">1-GZT7FT </t>
  </si>
  <si>
    <t xml:space="preserve">1-I4KPJR </t>
  </si>
  <si>
    <t xml:space="preserve">1-GCJF4N </t>
  </si>
  <si>
    <t xml:space="preserve">1-BAFPIH </t>
  </si>
  <si>
    <t xml:space="preserve">1-GDAIAT </t>
  </si>
  <si>
    <t xml:space="preserve">2N+8C-66B </t>
  </si>
  <si>
    <t xml:space="preserve">1-GBUV8T </t>
  </si>
  <si>
    <t xml:space="preserve">1-GBSUD7 </t>
  </si>
  <si>
    <t xml:space="preserve">1-GCADAS </t>
  </si>
  <si>
    <t xml:space="preserve">1-GDJD3J </t>
  </si>
  <si>
    <t xml:space="preserve">1-HWYHXD </t>
  </si>
  <si>
    <t xml:space="preserve">1-GCJEVH </t>
  </si>
  <si>
    <t xml:space="preserve">1-GCJF48 </t>
  </si>
  <si>
    <t xml:space="preserve">1-GCADEA </t>
  </si>
  <si>
    <t xml:space="preserve">1-HZ86TB </t>
  </si>
  <si>
    <t xml:space="preserve">1-FNL52O </t>
  </si>
  <si>
    <t xml:space="preserve">1-GCJEZK </t>
  </si>
  <si>
    <t xml:space="preserve">1-GBSUCX </t>
  </si>
  <si>
    <t xml:space="preserve">1-HZ50OZ </t>
  </si>
  <si>
    <t xml:space="preserve">1-FIZ4EW </t>
  </si>
  <si>
    <t xml:space="preserve">1-GCADEN </t>
  </si>
  <si>
    <t xml:space="preserve">1-GCAD9W </t>
  </si>
  <si>
    <t xml:space="preserve">1-I6C8W5 </t>
  </si>
  <si>
    <t xml:space="preserve">1-GDGHQ3 </t>
  </si>
  <si>
    <t xml:space="preserve">1-GDJCYD </t>
  </si>
  <si>
    <t xml:space="preserve">1-GCFKHD </t>
  </si>
  <si>
    <t xml:space="preserve">1-GCFKFD </t>
  </si>
  <si>
    <t xml:space="preserve">1-GXUB33 </t>
  </si>
  <si>
    <t xml:space="preserve">1-I4KOKN </t>
  </si>
  <si>
    <t xml:space="preserve">1-GCADCQ </t>
  </si>
  <si>
    <t xml:space="preserve">1-HZ7FHF </t>
  </si>
  <si>
    <t xml:space="preserve">1-GCAD9K </t>
  </si>
  <si>
    <t xml:space="preserve">1-HW1GYV </t>
  </si>
  <si>
    <t xml:space="preserve">1-GWPSHN </t>
  </si>
  <si>
    <t xml:space="preserve">1-I4DUXN </t>
  </si>
  <si>
    <t xml:space="preserve">1-I411MX </t>
  </si>
  <si>
    <t xml:space="preserve">1-GCJEZ7 </t>
  </si>
  <si>
    <t xml:space="preserve">1-GDAIC6 </t>
  </si>
  <si>
    <t xml:space="preserve">1-GCADDV </t>
  </si>
  <si>
    <t xml:space="preserve">1-GBSUDH </t>
  </si>
  <si>
    <t xml:space="preserve">1-GDAIEE </t>
  </si>
  <si>
    <t xml:space="preserve">1-FBN5PH </t>
  </si>
  <si>
    <t xml:space="preserve">1-I5GR6J </t>
  </si>
  <si>
    <t xml:space="preserve">1-GCADB8 </t>
  </si>
  <si>
    <t xml:space="preserve">1-GCAD8X </t>
  </si>
  <si>
    <t xml:space="preserve">1-GC0N9R </t>
  </si>
  <si>
    <t xml:space="preserve">1-GV8VEL </t>
  </si>
  <si>
    <t xml:space="preserve">1-GDE4MR </t>
  </si>
  <si>
    <t xml:space="preserve">1-GCJEUD </t>
  </si>
  <si>
    <t xml:space="preserve">1-GCJEVU </t>
  </si>
  <si>
    <t xml:space="preserve">1-GCJEV4 </t>
  </si>
  <si>
    <t xml:space="preserve">1-E08OFF </t>
  </si>
  <si>
    <t xml:space="preserve">1-GCFKG3 </t>
  </si>
  <si>
    <t xml:space="preserve">1-GDJD0U </t>
  </si>
  <si>
    <t xml:space="preserve">1-GCFKFQ </t>
  </si>
  <si>
    <t xml:space="preserve">1-GDJD38 </t>
  </si>
  <si>
    <t xml:space="preserve">2N+8C-1HI </t>
  </si>
  <si>
    <t xml:space="preserve">1-E07CRL </t>
  </si>
  <si>
    <t xml:space="preserve">1-G90T6B </t>
  </si>
  <si>
    <t xml:space="preserve">1-GNPIM7 </t>
  </si>
  <si>
    <t xml:space="preserve">1-FNOHIO </t>
  </si>
  <si>
    <t xml:space="preserve">1-GDAIAJ </t>
  </si>
  <si>
    <t xml:space="preserve">1-I43IET </t>
  </si>
  <si>
    <t xml:space="preserve">1-F4VYVB </t>
  </si>
  <si>
    <t xml:space="preserve">1-GJYYT1 </t>
  </si>
  <si>
    <t xml:space="preserve">1-HY2M8D </t>
  </si>
  <si>
    <t xml:space="preserve">1-GJAUA6 </t>
  </si>
  <si>
    <t xml:space="preserve">1-FS2EOD </t>
  </si>
  <si>
    <t xml:space="preserve">1-ERBD79 </t>
  </si>
  <si>
    <t xml:space="preserve">1-G6QDGL </t>
  </si>
  <si>
    <t xml:space="preserve">1-HY3HRN </t>
  </si>
  <si>
    <t xml:space="preserve">1-HXFGMD </t>
  </si>
  <si>
    <t xml:space="preserve">1-HW19QV </t>
  </si>
  <si>
    <t xml:space="preserve">1-HXC6ML </t>
  </si>
  <si>
    <t xml:space="preserve">1-GK35E3 </t>
  </si>
  <si>
    <t xml:space="preserve">1-ERN5UH </t>
  </si>
  <si>
    <t xml:space="preserve">1-HX9KKR </t>
  </si>
  <si>
    <t xml:space="preserve">1-GAAT29 </t>
  </si>
  <si>
    <t xml:space="preserve">1-GJYYVG </t>
  </si>
  <si>
    <t xml:space="preserve">1-HXI7TR </t>
  </si>
  <si>
    <t xml:space="preserve">1-GWO0E5 </t>
  </si>
  <si>
    <t xml:space="preserve">1-G4W577 </t>
  </si>
  <si>
    <t xml:space="preserve">1-I2619R </t>
  </si>
  <si>
    <t xml:space="preserve">1-I5J24R </t>
  </si>
  <si>
    <t xml:space="preserve">1-GJIHEJ </t>
  </si>
  <si>
    <t xml:space="preserve">1-GA0XYF </t>
  </si>
  <si>
    <t xml:space="preserve">1-HX5UAL </t>
  </si>
  <si>
    <t xml:space="preserve">1-F7NXR1 </t>
  </si>
  <si>
    <t xml:space="preserve">1-ERD38L </t>
  </si>
  <si>
    <t xml:space="preserve">1-GJBEFL </t>
  </si>
  <si>
    <t xml:space="preserve">1-ERD31N </t>
  </si>
  <si>
    <t xml:space="preserve">1-HYZO33 </t>
  </si>
  <si>
    <t xml:space="preserve">1-GEM5UT </t>
  </si>
  <si>
    <t xml:space="preserve">1-GJYYTN </t>
  </si>
  <si>
    <t xml:space="preserve">1-G3KDJ5 </t>
  </si>
  <si>
    <t xml:space="preserve">1-GJYH95 </t>
  </si>
  <si>
    <t xml:space="preserve">1-I4LHAV </t>
  </si>
  <si>
    <t xml:space="preserve">1-GWPSIB </t>
  </si>
  <si>
    <t xml:space="preserve">1-FRJGBY </t>
  </si>
  <si>
    <t xml:space="preserve">1-HSJWVJ </t>
  </si>
  <si>
    <t xml:space="preserve">1-ERN5MF </t>
  </si>
  <si>
    <t xml:space="preserve">1-ERD2V9 </t>
  </si>
  <si>
    <t xml:space="preserve">1-GUS90I </t>
  </si>
  <si>
    <t xml:space="preserve">1-ERD2KP </t>
  </si>
  <si>
    <t xml:space="preserve">1-HXIXEV </t>
  </si>
  <si>
    <t xml:space="preserve">1-EYN1V3 </t>
  </si>
  <si>
    <t xml:space="preserve">1-GA0XY6 </t>
  </si>
  <si>
    <t xml:space="preserve">1-GAAT21 </t>
  </si>
  <si>
    <t xml:space="preserve">1-GJIH71 </t>
  </si>
  <si>
    <t xml:space="preserve">1-G2RP0L </t>
  </si>
  <si>
    <t xml:space="preserve">1-HXIQMP </t>
  </si>
  <si>
    <t xml:space="preserve">1-HZ2K54 </t>
  </si>
  <si>
    <t xml:space="preserve">1-ERBD9H </t>
  </si>
  <si>
    <t xml:space="preserve">1-ERN6UL </t>
  </si>
  <si>
    <t xml:space="preserve">1-GJIGZR </t>
  </si>
  <si>
    <t xml:space="preserve">1-G4W56O </t>
  </si>
  <si>
    <t xml:space="preserve">1-GJYYU3 </t>
  </si>
  <si>
    <t xml:space="preserve">1-GJYYW1 </t>
  </si>
  <si>
    <t xml:space="preserve">1-G4W58U </t>
  </si>
  <si>
    <t xml:space="preserve">1-GJYXEC </t>
  </si>
  <si>
    <t xml:space="preserve">1-GUC701 </t>
  </si>
  <si>
    <t xml:space="preserve">1-EKIR4X </t>
  </si>
  <si>
    <t xml:space="preserve">1-GCJF1E </t>
  </si>
  <si>
    <t xml:space="preserve">1-I2VIB8 </t>
  </si>
  <si>
    <t xml:space="preserve">1-HWZYE9 </t>
  </si>
  <si>
    <t xml:space="preserve">1-IB32SJ </t>
  </si>
  <si>
    <t xml:space="preserve">1-I4QX4B </t>
  </si>
  <si>
    <t xml:space="preserve">1-F01KMN </t>
  </si>
  <si>
    <t xml:space="preserve">1-ERD2RD </t>
  </si>
  <si>
    <t xml:space="preserve">1-EOH23L </t>
  </si>
  <si>
    <t xml:space="preserve">2S-111UTT </t>
  </si>
  <si>
    <t xml:space="preserve">1-GDJ82N </t>
  </si>
  <si>
    <t xml:space="preserve">1-I9UBZX </t>
  </si>
  <si>
    <t xml:space="preserve">1-IB66B9 </t>
  </si>
  <si>
    <t xml:space="preserve">1-I4RF4N </t>
  </si>
  <si>
    <t xml:space="preserve">1-I9ODCP </t>
  </si>
  <si>
    <t xml:space="preserve">1-I4RFJ3 </t>
  </si>
  <si>
    <t xml:space="preserve">1-F32IZ2 </t>
  </si>
  <si>
    <t xml:space="preserve">1-EPIZUL </t>
  </si>
  <si>
    <t xml:space="preserve">1-I4Q9YF </t>
  </si>
  <si>
    <t xml:space="preserve">1-I46XCU </t>
  </si>
  <si>
    <t xml:space="preserve">1-F32IYS </t>
  </si>
  <si>
    <t xml:space="preserve">1-I23J2G </t>
  </si>
  <si>
    <t xml:space="preserve">1-ERITR1 </t>
  </si>
  <si>
    <t xml:space="preserve">1-BHKL3B </t>
  </si>
  <si>
    <t xml:space="preserve">1-I7NEE5 </t>
  </si>
  <si>
    <t xml:space="preserve">1-ERBD97 </t>
  </si>
  <si>
    <t xml:space="preserve">1-ERITUD </t>
  </si>
  <si>
    <t xml:space="preserve">1-I4R2WD </t>
  </si>
  <si>
    <t xml:space="preserve">1-I2VI9N </t>
  </si>
  <si>
    <t xml:space="preserve">1-ERBDGP </t>
  </si>
  <si>
    <t xml:space="preserve">1-I8RZIF </t>
  </si>
  <si>
    <t xml:space="preserve">1-FIHCGG </t>
  </si>
  <si>
    <t xml:space="preserve">1-G8WSC0 </t>
  </si>
  <si>
    <t xml:space="preserve">1-I261JF </t>
  </si>
  <si>
    <t xml:space="preserve">1-ERN5VB </t>
  </si>
  <si>
    <t xml:space="preserve">1-HEN77D </t>
  </si>
  <si>
    <t xml:space="preserve">1-GODM47 </t>
  </si>
  <si>
    <t xml:space="preserve">1-I5G9XK </t>
  </si>
  <si>
    <t xml:space="preserve">1-GRTWZN </t>
  </si>
  <si>
    <t xml:space="preserve">1-I5G9QH </t>
  </si>
  <si>
    <t xml:space="preserve">1-ERD2UZ </t>
  </si>
  <si>
    <t xml:space="preserve">1-I5G9LR </t>
  </si>
  <si>
    <t xml:space="preserve">1-I4RMQ9 </t>
  </si>
  <si>
    <t xml:space="preserve">1-I4QUFD </t>
  </si>
  <si>
    <t xml:space="preserve">1-I2VIAY </t>
  </si>
  <si>
    <t xml:space="preserve">1-ERN5HP </t>
  </si>
  <si>
    <t xml:space="preserve">1-I4PKHH </t>
  </si>
  <si>
    <t xml:space="preserve">1-IB6YRF </t>
  </si>
  <si>
    <t xml:space="preserve">1-GK4H76 </t>
  </si>
  <si>
    <t xml:space="preserve">1-GK4H4V </t>
  </si>
  <si>
    <t xml:space="preserve">1-IAFUDF </t>
  </si>
  <si>
    <t xml:space="preserve">1-ERBDJR </t>
  </si>
  <si>
    <t xml:space="preserve">1-I9W1QZ </t>
  </si>
  <si>
    <t xml:space="preserve">1-FHYH8Z </t>
  </si>
  <si>
    <t xml:space="preserve">1-F9WU6F </t>
  </si>
  <si>
    <t xml:space="preserve">1-I4RVTR </t>
  </si>
  <si>
    <t xml:space="preserve">1-I7ODVX </t>
  </si>
  <si>
    <t xml:space="preserve">1-I7R3S3 </t>
  </si>
  <si>
    <t xml:space="preserve">1-GZW2ZF </t>
  </si>
  <si>
    <t xml:space="preserve">1-I4PF4F </t>
  </si>
  <si>
    <t xml:space="preserve">1-I4QWWJ </t>
  </si>
  <si>
    <t xml:space="preserve">1-I266CI </t>
  </si>
  <si>
    <t xml:space="preserve">1-HLUMTB </t>
  </si>
  <si>
    <t xml:space="preserve">1-GRBXLR </t>
  </si>
  <si>
    <t xml:space="preserve">1-ERBD6F </t>
  </si>
  <si>
    <t xml:space="preserve">1-FSDZK5 </t>
  </si>
  <si>
    <t xml:space="preserve">1-F7O0WN </t>
  </si>
  <si>
    <t xml:space="preserve">1-ERN5VL </t>
  </si>
  <si>
    <t xml:space="preserve">1-I4QC0L </t>
  </si>
  <si>
    <t xml:space="preserve">1-GIJ0DP </t>
  </si>
  <si>
    <t xml:space="preserve">1-I22EPP </t>
  </si>
  <si>
    <t xml:space="preserve">1-ERBDH9 </t>
  </si>
  <si>
    <t xml:space="preserve">1-GTI3EX </t>
  </si>
  <si>
    <t xml:space="preserve">1-GA1JHX </t>
  </si>
  <si>
    <t xml:space="preserve">1-GYRZTZ </t>
  </si>
  <si>
    <t xml:space="preserve">1-FT89ZZ </t>
  </si>
  <si>
    <t xml:space="preserve">1-I4PKGD </t>
  </si>
  <si>
    <t xml:space="preserve">1-I9O2HV </t>
  </si>
  <si>
    <t xml:space="preserve">1-I5G9VC </t>
  </si>
  <si>
    <t xml:space="preserve">1-GV0QOT </t>
  </si>
  <si>
    <t xml:space="preserve">1-HSI4VX </t>
  </si>
  <si>
    <t xml:space="preserve">1-F01KMX </t>
  </si>
  <si>
    <t xml:space="preserve">1-I266C7 </t>
  </si>
  <si>
    <t xml:space="preserve">1-I4OSJN </t>
  </si>
  <si>
    <t xml:space="preserve">1-I5HLH3 </t>
  </si>
  <si>
    <t xml:space="preserve">1-I2VIAN </t>
  </si>
  <si>
    <t xml:space="preserve">1-I4QC0B </t>
  </si>
  <si>
    <t xml:space="preserve">1-EOH22L </t>
  </si>
  <si>
    <t xml:space="preserve">1-I5G9U8 </t>
  </si>
  <si>
    <t xml:space="preserve">1-HBRLBT </t>
  </si>
  <si>
    <t xml:space="preserve">1-ERITQR </t>
  </si>
  <si>
    <t xml:space="preserve">1-I4PKJP </t>
  </si>
  <si>
    <t xml:space="preserve">1-ERBDI3 </t>
  </si>
  <si>
    <t xml:space="preserve">1-I4Q9RR </t>
  </si>
  <si>
    <t xml:space="preserve">1-I4QUIZ </t>
  </si>
  <si>
    <t xml:space="preserve">1-I9S1HN </t>
  </si>
  <si>
    <t xml:space="preserve">1-I4QT0T </t>
  </si>
  <si>
    <t xml:space="preserve">1-F32IZC </t>
  </si>
  <si>
    <t xml:space="preserve">1-I23J27 </t>
  </si>
  <si>
    <t xml:space="preserve">1-I2824H </t>
  </si>
  <si>
    <t xml:space="preserve">1-G8LLWN </t>
  </si>
  <si>
    <t xml:space="preserve">1-ERITSP </t>
  </si>
  <si>
    <t xml:space="preserve">1-ERN5HF </t>
  </si>
  <si>
    <t xml:space="preserve">1-HWSTOV </t>
  </si>
  <si>
    <t xml:space="preserve">1-HPOLAZ </t>
  </si>
  <si>
    <t xml:space="preserve">1-F6RLEA </t>
  </si>
  <si>
    <t xml:space="preserve">1-ERITPD </t>
  </si>
  <si>
    <t xml:space="preserve">1-HP9RW1 </t>
  </si>
  <si>
    <t xml:space="preserve">1-H226EQ </t>
  </si>
  <si>
    <t xml:space="preserve">1-ERN5ON </t>
  </si>
  <si>
    <t xml:space="preserve">1-I27TF5 </t>
  </si>
  <si>
    <t xml:space="preserve">1-HMZ0G1 </t>
  </si>
  <si>
    <t xml:space="preserve">1-99W9P9 </t>
  </si>
  <si>
    <t xml:space="preserve">1-FZO75S </t>
  </si>
  <si>
    <t xml:space="preserve">1-I2DT6X </t>
  </si>
  <si>
    <t xml:space="preserve">1-I27BTJ </t>
  </si>
  <si>
    <t xml:space="preserve">1-I35KBX </t>
  </si>
  <si>
    <t xml:space="preserve">1-HPOL6I </t>
  </si>
  <si>
    <t xml:space="preserve">2S-ZU001 </t>
  </si>
  <si>
    <t xml:space="preserve">1-FFQZW3 </t>
  </si>
  <si>
    <t xml:space="preserve">1-F329VT </t>
  </si>
  <si>
    <t xml:space="preserve">1-F32ATO </t>
  </si>
  <si>
    <t xml:space="preserve">1-I2854J </t>
  </si>
  <si>
    <t xml:space="preserve">1-I283LT </t>
  </si>
  <si>
    <t xml:space="preserve">1-GY1O4D </t>
  </si>
  <si>
    <t xml:space="preserve">1-G8LLZ5 </t>
  </si>
  <si>
    <t xml:space="preserve">1-G99FVC </t>
  </si>
  <si>
    <t xml:space="preserve">1-ERITTJ </t>
  </si>
  <si>
    <t xml:space="preserve">1-H19HI9 </t>
  </si>
  <si>
    <t xml:space="preserve">1-G8FXGO </t>
  </si>
  <si>
    <t xml:space="preserve">1-H3LDCC </t>
  </si>
  <si>
    <t xml:space="preserve">1-I23J2P </t>
  </si>
  <si>
    <t xml:space="preserve">1-GJE35E </t>
  </si>
  <si>
    <t xml:space="preserve">1-HWHKO1 </t>
  </si>
  <si>
    <t xml:space="preserve">2S+3U-32 </t>
  </si>
  <si>
    <t xml:space="preserve">1-G8ARSL </t>
  </si>
  <si>
    <t xml:space="preserve">1-G0EVKF </t>
  </si>
  <si>
    <t xml:space="preserve">1-I0F17S </t>
  </si>
  <si>
    <t xml:space="preserve">1-GKFTJ5 </t>
  </si>
  <si>
    <t xml:space="preserve">1-HYZ5AX </t>
  </si>
  <si>
    <t xml:space="preserve">1-H06K27 </t>
  </si>
  <si>
    <t xml:space="preserve">1-EQ18JX </t>
  </si>
  <si>
    <t xml:space="preserve">1-G8EMYH </t>
  </si>
  <si>
    <t xml:space="preserve">1-GYCT9L </t>
  </si>
  <si>
    <t xml:space="preserve">1-FKE8MR </t>
  </si>
  <si>
    <t xml:space="preserve">1-FKE8QX </t>
  </si>
  <si>
    <t xml:space="preserve">1-FRPOK6 </t>
  </si>
  <si>
    <t xml:space="preserve">1-F6YD0X </t>
  </si>
  <si>
    <t xml:space="preserve">1-GEFRW7 </t>
  </si>
  <si>
    <t xml:space="preserve">1-GG490V </t>
  </si>
  <si>
    <t xml:space="preserve">1-FRKU6Q </t>
  </si>
  <si>
    <t xml:space="preserve">1-G6WJ7P </t>
  </si>
  <si>
    <t xml:space="preserve">1-I5CEPR </t>
  </si>
  <si>
    <t xml:space="preserve">1-ERBDDN </t>
  </si>
  <si>
    <t xml:space="preserve">1-ERBD7J </t>
  </si>
  <si>
    <t xml:space="preserve">1-ERBDFB </t>
  </si>
  <si>
    <t xml:space="preserve">1-ERD2JL </t>
  </si>
  <si>
    <t xml:space="preserve">1-GST5QC </t>
  </si>
  <si>
    <t xml:space="preserve">1-F1D1YQ </t>
  </si>
  <si>
    <t xml:space="preserve">1-FEDD04 </t>
  </si>
  <si>
    <t xml:space="preserve">1-GWMV3Y </t>
  </si>
  <si>
    <t xml:space="preserve">1-ERBDCJ </t>
  </si>
  <si>
    <t xml:space="preserve">1-GC278S </t>
  </si>
  <si>
    <t xml:space="preserve">1-ERD2N7 </t>
  </si>
  <si>
    <t xml:space="preserve">1-DQTLSW </t>
  </si>
  <si>
    <t xml:space="preserve">1-GCCGVC </t>
  </si>
  <si>
    <t xml:space="preserve">1-G9ZTVB </t>
  </si>
  <si>
    <t xml:space="preserve">1-ERITTT </t>
  </si>
  <si>
    <t xml:space="preserve">1-FTI6ND </t>
  </si>
  <si>
    <t xml:space="preserve">1-GST5OI </t>
  </si>
  <si>
    <t xml:space="preserve">1-I5SXTN </t>
  </si>
  <si>
    <t xml:space="preserve">1-FKTRMX </t>
  </si>
  <si>
    <t xml:space="preserve">1-GA369L </t>
  </si>
  <si>
    <t xml:space="preserve">1-I0F18S </t>
  </si>
  <si>
    <t xml:space="preserve">1-F6MRC9 </t>
  </si>
  <si>
    <t xml:space="preserve">1-FKE8MH </t>
  </si>
  <si>
    <t xml:space="preserve">1-ERD2YB </t>
  </si>
  <si>
    <t xml:space="preserve">1-I5QJZK </t>
  </si>
  <si>
    <t xml:space="preserve">1-ERITXP </t>
  </si>
  <si>
    <t xml:space="preserve">1-F16U9D </t>
  </si>
  <si>
    <t xml:space="preserve">1-HSG23F </t>
  </si>
  <si>
    <t xml:space="preserve">1-ERITY9 </t>
  </si>
  <si>
    <t xml:space="preserve">1-FKW3WJ </t>
  </si>
  <si>
    <t xml:space="preserve">1-GFW76Z </t>
  </si>
  <si>
    <t xml:space="preserve">1-GBTNLL </t>
  </si>
  <si>
    <t xml:space="preserve">1-GS5A4D </t>
  </si>
  <si>
    <t xml:space="preserve">1-FKE8QN </t>
  </si>
  <si>
    <t xml:space="preserve">1-FJ0X4Z </t>
  </si>
  <si>
    <t xml:space="preserve">1-F5BPZP </t>
  </si>
  <si>
    <t xml:space="preserve">1-ERD331 </t>
  </si>
  <si>
    <t xml:space="preserve">1-ERIU11 </t>
  </si>
  <si>
    <t xml:space="preserve">1-ERN6QF </t>
  </si>
  <si>
    <t xml:space="preserve">1-GK2D42 </t>
  </si>
  <si>
    <t xml:space="preserve">1-ERN5AR </t>
  </si>
  <si>
    <t xml:space="preserve">1-ERD2SH </t>
  </si>
  <si>
    <t xml:space="preserve">1-FKW40F </t>
  </si>
  <si>
    <t xml:space="preserve">1-I3LRZ7 </t>
  </si>
  <si>
    <t xml:space="preserve">1-HPQ4QN </t>
  </si>
  <si>
    <t xml:space="preserve">1-HWHDBL </t>
  </si>
  <si>
    <t xml:space="preserve">1-G5KGHJ </t>
  </si>
  <si>
    <t xml:space="preserve">1-FJDRL1 </t>
  </si>
  <si>
    <t xml:space="preserve">1-EVECJB </t>
  </si>
  <si>
    <t xml:space="preserve">1-FJLVRX </t>
  </si>
  <si>
    <t xml:space="preserve">1-FKE8R7 </t>
  </si>
  <si>
    <t xml:space="preserve">1-GRR443 </t>
  </si>
  <si>
    <t xml:space="preserve">1-3154JW </t>
  </si>
  <si>
    <t xml:space="preserve">1-HZ4PMN </t>
  </si>
  <si>
    <t xml:space="preserve">1-E9KX1H </t>
  </si>
  <si>
    <t xml:space="preserve">1-F04VOI </t>
  </si>
  <si>
    <t xml:space="preserve">1-H097CN </t>
  </si>
  <si>
    <t xml:space="preserve">1-ERBDCT </t>
  </si>
  <si>
    <t xml:space="preserve">1-ERBDC9 </t>
  </si>
  <si>
    <t xml:space="preserve">1-ERIU1B </t>
  </si>
  <si>
    <t xml:space="preserve">1-FKTRN7 </t>
  </si>
  <si>
    <t xml:space="preserve">1-I3ELEV </t>
  </si>
  <si>
    <t xml:space="preserve">1-GPNXHR </t>
  </si>
  <si>
    <t xml:space="preserve">1-DR3OXO </t>
  </si>
  <si>
    <t xml:space="preserve">1-3154K9 </t>
  </si>
  <si>
    <t xml:space="preserve">1-FFWSCV </t>
  </si>
  <si>
    <t xml:space="preserve">1-FKE8LD </t>
  </si>
  <si>
    <t xml:space="preserve">1-ERBDE7 </t>
  </si>
  <si>
    <t xml:space="preserve">1-FUZKMJ </t>
  </si>
  <si>
    <t xml:space="preserve">1-ERN5G1 </t>
  </si>
  <si>
    <t xml:space="preserve">1-ERD2PF </t>
  </si>
  <si>
    <t xml:space="preserve">1-ERD2JV </t>
  </si>
  <si>
    <t xml:space="preserve">1-EY167V </t>
  </si>
  <si>
    <t xml:space="preserve">1-GY1O7K </t>
  </si>
  <si>
    <t xml:space="preserve">1-FKE8S1 </t>
  </si>
  <si>
    <t xml:space="preserve">1-FJM9LF </t>
  </si>
  <si>
    <t xml:space="preserve">1-HN8MAV </t>
  </si>
  <si>
    <t xml:space="preserve">1-F6RLDU </t>
  </si>
  <si>
    <t xml:space="preserve">1-GFIBLG </t>
  </si>
  <si>
    <t xml:space="preserve">1-FPF2GP </t>
  </si>
  <si>
    <t xml:space="preserve">1-GFYDAX </t>
  </si>
  <si>
    <t xml:space="preserve">1-I2HMGB </t>
  </si>
  <si>
    <t xml:space="preserve">1-ERBDAV </t>
  </si>
  <si>
    <t xml:space="preserve">1-E0ODM3 </t>
  </si>
  <si>
    <t xml:space="preserve">1-I4360Q </t>
  </si>
  <si>
    <t xml:space="preserve">1-ERD2S7 </t>
  </si>
  <si>
    <t xml:space="preserve">1-FKW3WT </t>
  </si>
  <si>
    <t xml:space="preserve">1-ERITV7 </t>
  </si>
  <si>
    <t xml:space="preserve">1-HY6H9X </t>
  </si>
  <si>
    <t xml:space="preserve">1-ERN5HZ </t>
  </si>
  <si>
    <t xml:space="preserve">1-FKTRMN </t>
  </si>
  <si>
    <t xml:space="preserve">1-HM8EJ4 </t>
  </si>
  <si>
    <t xml:space="preserve">1-F16UCE </t>
  </si>
  <si>
    <t xml:space="preserve">1-GY5HPT </t>
  </si>
  <si>
    <t xml:space="preserve">1-ERN5GL </t>
  </si>
  <si>
    <t xml:space="preserve">1-GRL4Z3 </t>
  </si>
  <si>
    <t xml:space="preserve">1-GCTFAT </t>
  </si>
  <si>
    <t xml:space="preserve">1-ERN5OD </t>
  </si>
  <si>
    <t xml:space="preserve">1-FKE8PT </t>
  </si>
  <si>
    <t xml:space="preserve">1-GA0D9X </t>
  </si>
  <si>
    <t xml:space="preserve">1-I3N73H </t>
  </si>
  <si>
    <t xml:space="preserve">1-FNWA92 </t>
  </si>
  <si>
    <t xml:space="preserve">1-FKE8NV </t>
  </si>
  <si>
    <t xml:space="preserve">1-FKE8RR </t>
  </si>
  <si>
    <t xml:space="preserve">1-ERN5S9 </t>
  </si>
  <si>
    <t xml:space="preserve">1-FKAJWF </t>
  </si>
  <si>
    <t xml:space="preserve">1-F9EKNP </t>
  </si>
  <si>
    <t xml:space="preserve">1-E0E71Q </t>
  </si>
  <si>
    <t xml:space="preserve">1-GA47ZE </t>
  </si>
  <si>
    <t xml:space="preserve">1-ERD345 </t>
  </si>
  <si>
    <t xml:space="preserve">1-FKW3ZV </t>
  </si>
  <si>
    <t xml:space="preserve">1-FKW3XN </t>
  </si>
  <si>
    <t xml:space="preserve">1-HV5J1X </t>
  </si>
  <si>
    <t xml:space="preserve">1-E0SL6I </t>
  </si>
  <si>
    <t xml:space="preserve">1-GRR2GD </t>
  </si>
  <si>
    <t xml:space="preserve">1-GQ9WP3 </t>
  </si>
  <si>
    <t xml:space="preserve">1-ICJ3Z9 </t>
  </si>
  <si>
    <t xml:space="preserve">1-HUAFHR </t>
  </si>
  <si>
    <t xml:space="preserve">1-ERD2JB </t>
  </si>
  <si>
    <t xml:space="preserve">1-GKC7KL </t>
  </si>
  <si>
    <t xml:space="preserve">1-ELCS9M </t>
  </si>
  <si>
    <t xml:space="preserve">1-H05ZMP </t>
  </si>
  <si>
    <t xml:space="preserve">1-ERD2MN </t>
  </si>
  <si>
    <t xml:space="preserve">1-GHO9PZ </t>
  </si>
  <si>
    <t xml:space="preserve">2S-WOK92 </t>
  </si>
  <si>
    <t xml:space="preserve">1-FKE8NL </t>
  </si>
  <si>
    <t xml:space="preserve">1-FQ4KKB </t>
  </si>
  <si>
    <t xml:space="preserve">1-HKRZDT </t>
  </si>
  <si>
    <t xml:space="preserve">1-GXMJ8X </t>
  </si>
  <si>
    <t xml:space="preserve">1-GKFTEW </t>
  </si>
  <si>
    <t xml:space="preserve">1-ERN5DJ </t>
  </si>
  <si>
    <t xml:space="preserve">1-GHKYGN </t>
  </si>
  <si>
    <t xml:space="preserve">1-F6PYWJ </t>
  </si>
  <si>
    <t xml:space="preserve">1-GXOTZF </t>
  </si>
  <si>
    <t xml:space="preserve">1-GL7SJZ </t>
  </si>
  <si>
    <t xml:space="preserve">1-FKE8OP </t>
  </si>
  <si>
    <t xml:space="preserve">1-FKE8NB </t>
  </si>
  <si>
    <t xml:space="preserve">1-EJTCO3 </t>
  </si>
  <si>
    <t xml:space="preserve">1-ERN5NJ </t>
  </si>
  <si>
    <t xml:space="preserve">1-I346W3 </t>
  </si>
  <si>
    <t xml:space="preserve">1-ERN5UR </t>
  </si>
  <si>
    <t xml:space="preserve">1-HKT893 </t>
  </si>
  <si>
    <t xml:space="preserve">1-GST5Q3 </t>
  </si>
  <si>
    <t xml:space="preserve">1-FKW3TR </t>
  </si>
  <si>
    <t xml:space="preserve">1-FIHCEP </t>
  </si>
  <si>
    <t xml:space="preserve">1-F1D1ZR </t>
  </si>
  <si>
    <t xml:space="preserve">1-GY5HVJ </t>
  </si>
  <si>
    <t xml:space="preserve">1-GY5HW1 </t>
  </si>
  <si>
    <t xml:space="preserve">1-GY5HVS </t>
  </si>
  <si>
    <t xml:space="preserve">2S-QB358 </t>
  </si>
  <si>
    <t xml:space="preserve">1-FNPELD </t>
  </si>
  <si>
    <t xml:space="preserve">1-FWC67T </t>
  </si>
  <si>
    <t xml:space="preserve">1-GLCNFT </t>
  </si>
  <si>
    <t xml:space="preserve">1-GY5HQ2 </t>
  </si>
  <si>
    <t xml:space="preserve">1-GHQR9U </t>
  </si>
  <si>
    <t xml:space="preserve">1-FKTRPF </t>
  </si>
  <si>
    <t xml:space="preserve">1-I0ZMDF </t>
  </si>
  <si>
    <t xml:space="preserve">1-GK8BJ7 </t>
  </si>
  <si>
    <t xml:space="preserve">1-GFJDKJ </t>
  </si>
  <si>
    <t xml:space="preserve">1-ERD33L </t>
  </si>
  <si>
    <t xml:space="preserve">1-GHFVO3 </t>
  </si>
  <si>
    <t xml:space="preserve">1-F6UDR6 </t>
  </si>
  <si>
    <t xml:space="preserve">1-DQTLXV </t>
  </si>
  <si>
    <t xml:space="preserve">1-I0F112 </t>
  </si>
  <si>
    <t xml:space="preserve">1-GC65L1 </t>
  </si>
  <si>
    <t xml:space="preserve">1-FKW3UL </t>
  </si>
  <si>
    <t xml:space="preserve">1-GHFVOD </t>
  </si>
  <si>
    <t xml:space="preserve">1-FD3U91 </t>
  </si>
  <si>
    <t xml:space="preserve">1-H2IOV2 </t>
  </si>
  <si>
    <t xml:space="preserve">1-ERD309 </t>
  </si>
  <si>
    <t xml:space="preserve">1-FKW3UV </t>
  </si>
  <si>
    <t xml:space="preserve">1-ERD2ZF </t>
  </si>
  <si>
    <t xml:space="preserve">1-G8FXH6 </t>
  </si>
  <si>
    <t xml:space="preserve">1-HVOD6P </t>
  </si>
  <si>
    <t xml:space="preserve">1-GKLTU0 </t>
  </si>
  <si>
    <t xml:space="preserve">1-HU5WA7 </t>
  </si>
  <si>
    <t xml:space="preserve">1-HV9TSH </t>
  </si>
  <si>
    <t xml:space="preserve">1-ERN5I9 </t>
  </si>
  <si>
    <t xml:space="preserve">1-I2A5KB </t>
  </si>
  <si>
    <t xml:space="preserve">1-GY1O3F </t>
  </si>
  <si>
    <t xml:space="preserve">1-FKE8OF </t>
  </si>
  <si>
    <t xml:space="preserve">1-ERN5VV </t>
  </si>
  <si>
    <t xml:space="preserve">1-FHYH9V </t>
  </si>
  <si>
    <t xml:space="preserve">1-FJM4AB </t>
  </si>
  <si>
    <t xml:space="preserve">1-GCFZ5N </t>
  </si>
  <si>
    <t xml:space="preserve">1-FJ3487 </t>
  </si>
  <si>
    <t xml:space="preserve">1-ERD2TB </t>
  </si>
  <si>
    <t xml:space="preserve">1-ERN5W5 </t>
  </si>
  <si>
    <t xml:space="preserve">1-FV6R75 </t>
  </si>
  <si>
    <t xml:space="preserve">1-FHUQVR </t>
  </si>
  <si>
    <t xml:space="preserve">1-FRPOL8 </t>
  </si>
  <si>
    <t xml:space="preserve">1-H0FDUJ </t>
  </si>
  <si>
    <t xml:space="preserve">1-GKFTGH </t>
  </si>
  <si>
    <t xml:space="preserve">1-ERD35J </t>
  </si>
  <si>
    <t xml:space="preserve">1-FKW3YR </t>
  </si>
  <si>
    <t xml:space="preserve">1-ERIU0R </t>
  </si>
  <si>
    <t xml:space="preserve">1-FKW405 </t>
  </si>
  <si>
    <t xml:space="preserve">1-AWHN3V </t>
  </si>
  <si>
    <t xml:space="preserve">1-EC5UOW </t>
  </si>
  <si>
    <t xml:space="preserve">1-FNV5MF </t>
  </si>
  <si>
    <t xml:space="preserve">2N-17ERQ4 </t>
  </si>
  <si>
    <t xml:space="preserve">1-ERBDDX </t>
  </si>
  <si>
    <t xml:space="preserve">1-HMRK7X </t>
  </si>
  <si>
    <t xml:space="preserve">1-GEL7HB </t>
  </si>
  <si>
    <t xml:space="preserve">1-GTSO6F </t>
  </si>
  <si>
    <t xml:space="preserve">1-FJ3WJD </t>
  </si>
  <si>
    <t xml:space="preserve">1-HUA73J </t>
  </si>
  <si>
    <t xml:space="preserve">1-ERIU1V </t>
  </si>
  <si>
    <t xml:space="preserve">1-EY3GLD </t>
  </si>
  <si>
    <t xml:space="preserve">1-ERD2RN </t>
  </si>
  <si>
    <t xml:space="preserve">1-GHKY1X </t>
  </si>
  <si>
    <t xml:space="preserve">1-ERIU2P </t>
  </si>
  <si>
    <t xml:space="preserve">1-F9WDLU </t>
  </si>
  <si>
    <t xml:space="preserve">1-HUBVUH </t>
  </si>
  <si>
    <t xml:space="preserve">1-GBNBIR </t>
  </si>
  <si>
    <t xml:space="preserve">1-ERIU2Z </t>
  </si>
  <si>
    <t xml:space="preserve">1-G9ZT61 </t>
  </si>
  <si>
    <t xml:space="preserve">1-FHVIDR </t>
  </si>
  <si>
    <t xml:space="preserve">1-GY5HR1 </t>
  </si>
  <si>
    <t xml:space="preserve">1-DR3P05 </t>
  </si>
  <si>
    <t xml:space="preserve">1-IAW9I2 </t>
  </si>
  <si>
    <t xml:space="preserve">1-I435TL </t>
  </si>
  <si>
    <t xml:space="preserve">1-EJ4X5W </t>
  </si>
  <si>
    <t xml:space="preserve">1-ERN5NT </t>
  </si>
  <si>
    <t xml:space="preserve">1-EUNRWM </t>
  </si>
  <si>
    <t xml:space="preserve">1-FBN0B1 </t>
  </si>
  <si>
    <t xml:space="preserve">1-ERITZX </t>
  </si>
  <si>
    <t xml:space="preserve">1-I0F124 </t>
  </si>
  <si>
    <t xml:space="preserve">1-GKFTC8 </t>
  </si>
  <si>
    <t xml:space="preserve">1-FKE8PJ </t>
  </si>
  <si>
    <t xml:space="preserve">1-FKW3UB </t>
  </si>
  <si>
    <t xml:space="preserve">1-ERN5JX </t>
  </si>
  <si>
    <t xml:space="preserve">1-FOP011 </t>
  </si>
  <si>
    <t xml:space="preserve">1-ERN5D9 </t>
  </si>
  <si>
    <t xml:space="preserve">2S-KR0QX </t>
  </si>
  <si>
    <t xml:space="preserve">1-I89WIL </t>
  </si>
  <si>
    <t xml:space="preserve">1-H45V15 </t>
  </si>
  <si>
    <t xml:space="preserve">2N-5DU6T </t>
  </si>
  <si>
    <t xml:space="preserve">1-EDEYP6 </t>
  </si>
  <si>
    <t xml:space="preserve">1-ERN5O3 </t>
  </si>
  <si>
    <t xml:space="preserve">1-DQTLTQ </t>
  </si>
  <si>
    <t xml:space="preserve">1-GBB0CL </t>
  </si>
  <si>
    <t xml:space="preserve">1-FRKU5T </t>
  </si>
  <si>
    <t xml:space="preserve">1-HPQ4QD </t>
  </si>
  <si>
    <t xml:space="preserve">1-HJWC5V </t>
  </si>
  <si>
    <t xml:space="preserve">1-I6G3XP </t>
  </si>
  <si>
    <t xml:space="preserve">1-GB4Y6R </t>
  </si>
  <si>
    <t xml:space="preserve">2S-ZIYCS </t>
  </si>
  <si>
    <t xml:space="preserve">1-I1YEE5 </t>
  </si>
  <si>
    <t xml:space="preserve">1-FW9IMP </t>
  </si>
  <si>
    <t xml:space="preserve">1-GBUOOD </t>
  </si>
  <si>
    <t xml:space="preserve">1-GEFRX1 </t>
  </si>
  <si>
    <t xml:space="preserve">1-ERN59X </t>
  </si>
  <si>
    <t xml:space="preserve">1-GBB08I </t>
  </si>
  <si>
    <t xml:space="preserve">1-GY5HRS </t>
  </si>
  <si>
    <t xml:space="preserve">1-DQTLT9 </t>
  </si>
  <si>
    <t xml:space="preserve">1-F58UQR </t>
  </si>
  <si>
    <t xml:space="preserve">1-HDHGSF </t>
  </si>
  <si>
    <t xml:space="preserve">1-FKTRP5 </t>
  </si>
  <si>
    <t xml:space="preserve">1-FQV7Q1 </t>
  </si>
  <si>
    <t xml:space="preserve">1-HS5JA7 </t>
  </si>
  <si>
    <t xml:space="preserve">1-HN9ACP </t>
  </si>
  <si>
    <t xml:space="preserve">1-FD3UA5 </t>
  </si>
  <si>
    <t xml:space="preserve">1-F8VK0W </t>
  </si>
  <si>
    <t xml:space="preserve">1-GYNX8U </t>
  </si>
  <si>
    <t xml:space="preserve">1-ERN58J </t>
  </si>
  <si>
    <t xml:space="preserve">1-GLGM5B </t>
  </si>
  <si>
    <t xml:space="preserve">1-G4I4B4 </t>
  </si>
  <si>
    <t xml:space="preserve">1-GS17VX </t>
  </si>
  <si>
    <t xml:space="preserve">1-F01KNH </t>
  </si>
  <si>
    <t xml:space="preserve">1-ERN5L1 </t>
  </si>
  <si>
    <t xml:space="preserve">1-ERIU1L </t>
  </si>
  <si>
    <t xml:space="preserve">1-ERN5RF </t>
  </si>
  <si>
    <t xml:space="preserve">1-ERD363 </t>
  </si>
  <si>
    <t xml:space="preserve">1-FYRGYF </t>
  </si>
  <si>
    <t xml:space="preserve">1-FHUV5D </t>
  </si>
  <si>
    <t xml:space="preserve">1-FUKC95 </t>
  </si>
  <si>
    <t xml:space="preserve">1-GL66Z7 </t>
  </si>
  <si>
    <t xml:space="preserve">1-GST5QL </t>
  </si>
  <si>
    <t xml:space="preserve">1-I0V5GL </t>
  </si>
  <si>
    <t xml:space="preserve">1-H2IOM4 </t>
  </si>
  <si>
    <t xml:space="preserve">1-ERD36D </t>
  </si>
  <si>
    <t xml:space="preserve">1-ERBDF1 </t>
  </si>
  <si>
    <t xml:space="preserve">1-GR854E </t>
  </si>
  <si>
    <t xml:space="preserve">1-HZ4J8X </t>
  </si>
  <si>
    <t xml:space="preserve">1-G6WJ86 </t>
  </si>
  <si>
    <t xml:space="preserve">1-GA47ZU </t>
  </si>
  <si>
    <t xml:space="preserve">1-G6WJ6U </t>
  </si>
  <si>
    <t xml:space="preserve">1-GBTNMH </t>
  </si>
  <si>
    <t xml:space="preserve">1-F4X441 </t>
  </si>
  <si>
    <t xml:space="preserve">1-DR3P0C </t>
  </si>
  <si>
    <t xml:space="preserve">1-ERBDAB </t>
  </si>
  <si>
    <t xml:space="preserve">1-I24JIE </t>
  </si>
  <si>
    <t xml:space="preserve">1-GXOU02 </t>
  </si>
  <si>
    <t xml:space="preserve">1-HSKZ4R </t>
  </si>
  <si>
    <t xml:space="preserve">1-HB0BBB </t>
  </si>
  <si>
    <t xml:space="preserve">1-I2KLY3 </t>
  </si>
  <si>
    <t xml:space="preserve">1-HBPL07 </t>
  </si>
  <si>
    <t xml:space="preserve">1-FJV0ZL </t>
  </si>
  <si>
    <t xml:space="preserve">1-GXXU2H </t>
  </si>
  <si>
    <t xml:space="preserve">1-ERN59D </t>
  </si>
  <si>
    <t xml:space="preserve">1-ERBDBZ </t>
  </si>
  <si>
    <t xml:space="preserve">1-GMGHG9 </t>
  </si>
  <si>
    <t xml:space="preserve">1-FKTROL </t>
  </si>
  <si>
    <t xml:space="preserve">1-FKW3X3 </t>
  </si>
  <si>
    <t xml:space="preserve">1-FKW3TH </t>
  </si>
  <si>
    <t xml:space="preserve">1-I4TD4X </t>
  </si>
  <si>
    <t xml:space="preserve">1-GP2AHA </t>
  </si>
  <si>
    <t xml:space="preserve">1-FVHEHO </t>
  </si>
  <si>
    <t xml:space="preserve">1-ERD34F </t>
  </si>
  <si>
    <t xml:space="preserve">1-G6AC6D </t>
  </si>
  <si>
    <t xml:space="preserve">1-GRTYZZ </t>
  </si>
  <si>
    <t xml:space="preserve">1-DUVFTT </t>
  </si>
  <si>
    <t xml:space="preserve">1-HU7H3R </t>
  </si>
  <si>
    <t xml:space="preserve">1-GY1O1F </t>
  </si>
  <si>
    <t xml:space="preserve">1-I4I9VL </t>
  </si>
  <si>
    <t xml:space="preserve">1-H2IP0A </t>
  </si>
  <si>
    <t xml:space="preserve">1-HZ4JB5 </t>
  </si>
  <si>
    <t xml:space="preserve">1-FKTRNH </t>
  </si>
  <si>
    <t xml:space="preserve">1-ERD2XH </t>
  </si>
  <si>
    <t xml:space="preserve">1-ERN589 </t>
  </si>
  <si>
    <t xml:space="preserve">1-ERN57P </t>
  </si>
  <si>
    <t xml:space="preserve">1-ERN5KR </t>
  </si>
  <si>
    <t xml:space="preserve">1-ERN5AH </t>
  </si>
  <si>
    <t xml:space="preserve">1-H1AY59 </t>
  </si>
  <si>
    <t xml:space="preserve">1-GHQR85 </t>
  </si>
  <si>
    <t xml:space="preserve">1-FQQM6F </t>
  </si>
  <si>
    <t xml:space="preserve">1-F5G4N3 </t>
  </si>
  <si>
    <t xml:space="preserve">1-DJZN6E </t>
  </si>
  <si>
    <t xml:space="preserve">1-ERN56V </t>
  </si>
  <si>
    <t xml:space="preserve">1-FQH38W </t>
  </si>
  <si>
    <t xml:space="preserve">1-F6RXUP </t>
  </si>
  <si>
    <t xml:space="preserve">1-FWDNGR </t>
  </si>
  <si>
    <t xml:space="preserve">1-H5SXKP </t>
  </si>
  <si>
    <t xml:space="preserve">1-I33CYL </t>
  </si>
  <si>
    <t xml:space="preserve">1-G9D1O8 </t>
  </si>
  <si>
    <t xml:space="preserve">1-HJWC68 </t>
  </si>
  <si>
    <t xml:space="preserve">1-GR8534 </t>
  </si>
  <si>
    <t xml:space="preserve">1-F16U9R </t>
  </si>
  <si>
    <t xml:space="preserve">1-F6RHB5 </t>
  </si>
  <si>
    <t xml:space="preserve">1-GYNX8H </t>
  </si>
  <si>
    <t xml:space="preserve">1-ERD33V </t>
  </si>
  <si>
    <t xml:space="preserve">1-GH8ZIH </t>
  </si>
  <si>
    <t xml:space="preserve">1-F6UDQB </t>
  </si>
  <si>
    <t xml:space="preserve">1-GY5HUS </t>
  </si>
  <si>
    <t xml:space="preserve">1-EUL9HP </t>
  </si>
  <si>
    <t xml:space="preserve">1-ERN5K7 </t>
  </si>
  <si>
    <t xml:space="preserve">1-ERIU25 </t>
  </si>
  <si>
    <t xml:space="preserve">1-GDH00Y </t>
  </si>
  <si>
    <t xml:space="preserve">1-GLFXHJ </t>
  </si>
  <si>
    <t xml:space="preserve">1-F6UDRE </t>
  </si>
  <si>
    <t xml:space="preserve">1-GED783 </t>
  </si>
  <si>
    <t xml:space="preserve">1-FOHLK0 </t>
  </si>
  <si>
    <t xml:space="preserve">1-G3WYS3 </t>
  </si>
  <si>
    <t xml:space="preserve">1-FJDRJX </t>
  </si>
  <si>
    <t xml:space="preserve">1-FV0BSH </t>
  </si>
  <si>
    <t xml:space="preserve">1-HUWE5D </t>
  </si>
  <si>
    <t xml:space="preserve">1-GTAK01 </t>
  </si>
  <si>
    <t xml:space="preserve">1-GFU0UF </t>
  </si>
  <si>
    <t xml:space="preserve">1-GC0TVJ </t>
  </si>
  <si>
    <t xml:space="preserve">1-FKE8M7 </t>
  </si>
  <si>
    <t xml:space="preserve">1-FKE8N1 </t>
  </si>
  <si>
    <t xml:space="preserve">1-IAW97Z </t>
  </si>
  <si>
    <t xml:space="preserve">1-C1VDC7 </t>
  </si>
  <si>
    <t xml:space="preserve">1-HZ4EPB </t>
  </si>
  <si>
    <t xml:space="preserve">1-FZO72X </t>
  </si>
  <si>
    <t xml:space="preserve">1-GDM4N3 </t>
  </si>
  <si>
    <t xml:space="preserve">1-ERBDD3 </t>
  </si>
  <si>
    <t xml:space="preserve">1-H5K1T9 </t>
  </si>
  <si>
    <t xml:space="preserve">1-GK2D8F </t>
  </si>
  <si>
    <t xml:space="preserve">1-DWUMR7 </t>
  </si>
  <si>
    <t xml:space="preserve">1-H09N27 </t>
  </si>
  <si>
    <t xml:space="preserve">1-ERN5DT </t>
  </si>
  <si>
    <t xml:space="preserve">1-DR3OXY </t>
  </si>
  <si>
    <t xml:space="preserve">1-GY5HV1 </t>
  </si>
  <si>
    <t xml:space="preserve">1-ERN5WF </t>
  </si>
  <si>
    <t xml:space="preserve">1-H05ZIR </t>
  </si>
  <si>
    <t xml:space="preserve">1-HKYAJV </t>
  </si>
  <si>
    <t xml:space="preserve">1-FRPOLR </t>
  </si>
  <si>
    <t xml:space="preserve">1-ERN58T </t>
  </si>
  <si>
    <t xml:space="preserve">1-HVN2CB </t>
  </si>
  <si>
    <t xml:space="preserve">1-HZ6ON5 </t>
  </si>
  <si>
    <t xml:space="preserve">1-HXJDE5 </t>
  </si>
  <si>
    <t xml:space="preserve">1-GK2D7D </t>
  </si>
  <si>
    <t xml:space="preserve">1-FJM49R </t>
  </si>
  <si>
    <t xml:space="preserve">1-I6A8TZ </t>
  </si>
  <si>
    <t xml:space="preserve">1-FARLQ7 </t>
  </si>
  <si>
    <t xml:space="preserve">1-FKW3XX </t>
  </si>
  <si>
    <t xml:space="preserve">1-FKW3U1 </t>
  </si>
  <si>
    <t xml:space="preserve">1-ERN5XJ </t>
  </si>
  <si>
    <t xml:space="preserve">1-F58URL </t>
  </si>
  <si>
    <t xml:space="preserve">1-ERN5QL </t>
  </si>
  <si>
    <t xml:space="preserve">1-GHI3YR </t>
  </si>
  <si>
    <t xml:space="preserve">1-GRUDSR </t>
  </si>
  <si>
    <t xml:space="preserve">1-G6AC63 </t>
  </si>
  <si>
    <t xml:space="preserve">1-F1D1YZ </t>
  </si>
  <si>
    <t xml:space="preserve">1-FKW3XD </t>
  </si>
  <si>
    <t xml:space="preserve">1-FKW3Z1 </t>
  </si>
  <si>
    <t xml:space="preserve">1-ERN5GB </t>
  </si>
  <si>
    <t xml:space="preserve">1-HPRK7Z </t>
  </si>
  <si>
    <t xml:space="preserve">1-HSTX9P </t>
  </si>
  <si>
    <t xml:space="preserve">1-GSGP15 </t>
  </si>
  <si>
    <t xml:space="preserve">1-ERD32H </t>
  </si>
  <si>
    <t xml:space="preserve">1-ERN5TN </t>
  </si>
  <si>
    <t xml:space="preserve">1-FRHSXN </t>
  </si>
  <si>
    <t xml:space="preserve">1-DZM4BB </t>
  </si>
  <si>
    <t xml:space="preserve">1-ERBD8X </t>
  </si>
  <si>
    <t xml:space="preserve">1-GMXG4F </t>
  </si>
  <si>
    <t xml:space="preserve">1-HOU2ET </t>
  </si>
  <si>
    <t xml:space="preserve">1-ERBDGZ </t>
  </si>
  <si>
    <t xml:space="preserve">1-GGGZ0X </t>
  </si>
  <si>
    <t xml:space="preserve">1-FIXZV3 </t>
  </si>
  <si>
    <t xml:space="preserve">1-I0F0EJ </t>
  </si>
  <si>
    <t xml:space="preserve">1-I4IC98 </t>
  </si>
  <si>
    <t xml:space="preserve">1-GMKVEX </t>
  </si>
  <si>
    <t xml:space="preserve">1-GA64PF </t>
  </si>
  <si>
    <t xml:space="preserve">1-ERD2WX </t>
  </si>
  <si>
    <t xml:space="preserve">1-GCLKT8 </t>
  </si>
  <si>
    <t xml:space="preserve">1-I29WKP </t>
  </si>
  <si>
    <t xml:space="preserve">1-HY1VI8 </t>
  </si>
  <si>
    <t xml:space="preserve">1-GY5G8R </t>
  </si>
  <si>
    <t xml:space="preserve">1-FNIEZV </t>
  </si>
  <si>
    <t xml:space="preserve">1-FKGY9K </t>
  </si>
  <si>
    <t xml:space="preserve">1-FIXZUF </t>
  </si>
  <si>
    <t xml:space="preserve">1-GTSNZP </t>
  </si>
  <si>
    <t xml:space="preserve">1-FJS4M6 </t>
  </si>
  <si>
    <t xml:space="preserve">1-ERBDHJ </t>
  </si>
  <si>
    <t xml:space="preserve">1-G0XF6B </t>
  </si>
  <si>
    <t xml:space="preserve">1-GDEOLX </t>
  </si>
  <si>
    <t xml:space="preserve">1-FJS4MY </t>
  </si>
  <si>
    <t xml:space="preserve">1-FRPOJ1 </t>
  </si>
  <si>
    <t xml:space="preserve">1-FDONA3 </t>
  </si>
  <si>
    <t xml:space="preserve">1-ERN6T7 </t>
  </si>
  <si>
    <t xml:space="preserve">1-GJYYV5 </t>
  </si>
  <si>
    <t xml:space="preserve">1-FARLQF </t>
  </si>
  <si>
    <t xml:space="preserve">1-GNTWZL </t>
  </si>
  <si>
    <t xml:space="preserve">1-GDGVB9 </t>
  </si>
  <si>
    <t xml:space="preserve">1-FLYVMU </t>
  </si>
  <si>
    <t xml:space="preserve">1-GJE37Y </t>
  </si>
  <si>
    <t xml:space="preserve">1-FZO74R </t>
  </si>
  <si>
    <t xml:space="preserve">1-HY2DZF </t>
  </si>
  <si>
    <t xml:space="preserve">1-FIXZU7 </t>
  </si>
  <si>
    <t xml:space="preserve">1-FK3DW3 </t>
  </si>
  <si>
    <t>12 Month Trend</t>
  </si>
  <si>
    <t>CHART: DOUGHNUT CHART</t>
  </si>
  <si>
    <t>CHART: 3-D BUBBLE CHART</t>
  </si>
  <si>
    <t>Tranship</t>
  </si>
  <si>
    <t>Lyttelton</t>
  </si>
  <si>
    <t>Southport</t>
  </si>
  <si>
    <t>Centreport</t>
  </si>
  <si>
    <t>Port Otago</t>
  </si>
  <si>
    <t>Port of Napier</t>
  </si>
  <si>
    <t>Port Nelson</t>
  </si>
  <si>
    <t>Port Taranaki</t>
  </si>
  <si>
    <t>Ports of Auckland</t>
  </si>
  <si>
    <t>Port of Tauranga</t>
  </si>
  <si>
    <t>Primeport Timaru</t>
  </si>
  <si>
    <t>Port Name</t>
  </si>
  <si>
    <t>Calculate the total sales and commission on sales amount for each agent</t>
  </si>
  <si>
    <t>Function</t>
  </si>
  <si>
    <t>Syntax</t>
  </si>
  <si>
    <t>SUMIF Function</t>
  </si>
  <si>
    <r>
      <t>SUMIF(</t>
    </r>
    <r>
      <rPr>
        <b/>
        <sz val="9"/>
        <color theme="1"/>
        <rFont val="Segoe UI"/>
        <family val="2"/>
      </rPr>
      <t>range, criteria, [sum_range]</t>
    </r>
    <r>
      <rPr>
        <sz val="11"/>
        <color theme="1"/>
        <rFont val="Calibri"/>
        <family val="2"/>
        <scheme val="minor"/>
      </rPr>
      <t>)</t>
    </r>
  </si>
  <si>
    <t>The SUMIF function syntax has the following arguments:</t>
  </si>
  <si>
    <r>
      <rPr>
        <b/>
        <i/>
        <sz val="9"/>
        <rFont val="Segoe UI"/>
        <family val="2"/>
      </rPr>
      <t>Range</t>
    </r>
    <r>
      <rPr>
        <i/>
        <sz val="9"/>
        <rFont val="Segoe UI"/>
        <family val="2"/>
      </rPr>
      <t>   </t>
    </r>
    <r>
      <rPr>
        <sz val="9"/>
        <rFont val="Segoe UI"/>
        <family val="2"/>
      </rPr>
      <t>Required. The range of cells that you want evaluated by criteria. Cells in each range must be numbers or names, arrays, or references</t>
    </r>
  </si>
  <si>
    <t>that contain numbers</t>
  </si>
  <si>
    <r>
      <rPr>
        <b/>
        <i/>
        <sz val="9"/>
        <rFont val="Segoe UI"/>
        <family val="2"/>
      </rPr>
      <t>Criteria</t>
    </r>
    <r>
      <rPr>
        <sz val="9"/>
        <rFont val="Segoe UI"/>
        <family val="2"/>
      </rPr>
      <t>   Required. The criteria in the form of a number, expression, a cell reference, text, or a function that defines which cells will be added.</t>
    </r>
  </si>
  <si>
    <t>For example, criteria can be expressed as 32, "&gt;32", B5, "32", "apples", or TODAY().</t>
  </si>
  <si>
    <t>Any text criteria or any criteria that includes logical or mathematical symbols must be enclosed in double quotation marks (").</t>
  </si>
  <si>
    <t>If the criteria is numeric, double quotation marks are not required.</t>
  </si>
  <si>
    <r>
      <rPr>
        <b/>
        <i/>
        <sz val="9"/>
        <rFont val="Segoe UI"/>
        <family val="2"/>
      </rPr>
      <t>Sum_range</t>
    </r>
    <r>
      <rPr>
        <b/>
        <sz val="9"/>
        <rFont val="Segoe UI"/>
        <family val="2"/>
      </rPr>
      <t> </t>
    </r>
    <r>
      <rPr>
        <sz val="9"/>
        <rFont val="Segoe UI"/>
        <family val="2"/>
      </rPr>
      <t>  Optional. The actual cells to add, if you want to add cells other than those specified in the range argument.</t>
    </r>
  </si>
  <si>
    <t>If the sum_range argument is omitted, Excel adds the cells that are specified in the range argument (the same cells to which the criteria is applied).</t>
  </si>
  <si>
    <t>You can use the wildcard characters—the question mark (?) and asterisk (*)—as the criteria argument. A question mark matches any single</t>
  </si>
  <si>
    <t>character; an asterisk matches any sequence of characters. If you want to find an actual question mark or asterisk, type a tilde (~)</t>
  </si>
  <si>
    <t>preceding the character.</t>
  </si>
  <si>
    <t>You use the SUMIF function to sum the values in a range that meet criteria that you specify.</t>
  </si>
  <si>
    <t>The SUMIF function returns incorrect results when you use it to match strings longer than 255 characters or to the string #VALUE!.</t>
  </si>
  <si>
    <t>The sum_range argument does not have to be the same size and shape as the range argument. The actual cells that are added</t>
  </si>
  <si>
    <t>are determined by using the upper leftmost cell in the sum_range argument as the beginning cell, and then including cells that</t>
  </si>
  <si>
    <t>correspond in size and shape to the range argument.</t>
  </si>
  <si>
    <t>SUMIFS</t>
  </si>
  <si>
    <r>
      <t>SUMIFS(</t>
    </r>
    <r>
      <rPr>
        <b/>
        <i/>
        <sz val="9"/>
        <color theme="1"/>
        <rFont val="Segoe UI"/>
        <family val="2"/>
      </rPr>
      <t>sum_range, criteria_range1, criteria1, [criteria_range2, criteria2], ...</t>
    </r>
    <r>
      <rPr>
        <sz val="11"/>
        <color theme="1"/>
        <rFont val="Calibri"/>
        <family val="2"/>
        <scheme val="minor"/>
      </rPr>
      <t>)</t>
    </r>
  </si>
  <si>
    <r>
      <rPr>
        <b/>
        <i/>
        <sz val="9"/>
        <rFont val="Segoe UI"/>
        <family val="2"/>
      </rPr>
      <t>Sum_range</t>
    </r>
    <r>
      <rPr>
        <sz val="9"/>
        <rFont val="Segoe UI"/>
        <family val="2"/>
      </rPr>
      <t>    (required) The range of cells to sum.</t>
    </r>
  </si>
  <si>
    <r>
      <rPr>
        <b/>
        <i/>
        <sz val="9"/>
        <rFont val="Segoe UI"/>
        <family val="2"/>
      </rPr>
      <t>Criteria_range1</t>
    </r>
    <r>
      <rPr>
        <b/>
        <sz val="9"/>
        <rFont val="Segoe UI"/>
        <family val="2"/>
      </rPr>
      <t> </t>
    </r>
    <r>
      <rPr>
        <sz val="9"/>
        <rFont val="Segoe UI"/>
        <family val="2"/>
      </rPr>
      <t>   (required) The range that is tested using Criteria1. Criteria_range1 and Criteria1 set up a search pair whereby a range</t>
    </r>
  </si>
  <si>
    <t>is searched for specific criteria. Once items in the range are found, their corresponding values in Sum_range are added.</t>
  </si>
  <si>
    <r>
      <rPr>
        <b/>
        <sz val="9"/>
        <rFont val="Segoe UI"/>
        <family val="2"/>
      </rPr>
      <t>Criteria1 </t>
    </r>
    <r>
      <rPr>
        <sz val="9"/>
        <rFont val="Segoe UI"/>
        <family val="2"/>
      </rPr>
      <t>   (required) The criteria that defines which cells in Criteria_range1 will be added.</t>
    </r>
  </si>
  <si>
    <r>
      <rPr>
        <b/>
        <i/>
        <sz val="9"/>
        <rFont val="Segoe UI"/>
        <family val="2"/>
      </rPr>
      <t>Criteria_range2, criteria2,</t>
    </r>
    <r>
      <rPr>
        <b/>
        <sz val="9"/>
        <rFont val="Segoe UI"/>
        <family val="2"/>
      </rPr>
      <t xml:space="preserve"> … </t>
    </r>
    <r>
      <rPr>
        <sz val="9"/>
        <rFont val="Segoe UI"/>
        <family val="2"/>
      </rPr>
      <t>   (optional) Additional ranges and their associated criteria. You can enter up to 127 range/criteria pairs.</t>
    </r>
  </si>
  <si>
    <r>
      <rPr>
        <b/>
        <i/>
        <sz val="9"/>
        <rFont val="Segoe UI"/>
        <family val="2"/>
      </rPr>
      <t>Logical2, …</t>
    </r>
    <r>
      <rPr>
        <sz val="9"/>
        <rFont val="Segoe UI"/>
        <family val="2"/>
      </rPr>
      <t xml:space="preserve"> Optional. Additional conditions that you want to test that can evaluate to either TRUE or FALSE, up to a maximum of 255 conditions.</t>
    </r>
  </si>
  <si>
    <t>Use wildcard characters.</t>
  </si>
  <si>
    <t>Using wildcard characters like the question mark (?) and asterisk (*) in criteria1,2can help you find matches that are similar but not exact.</t>
  </si>
  <si>
    <t>A question mark matches any single character. An asterisk matches any sequence of characters.</t>
  </si>
  <si>
    <t>If you want to find an actual question mark or asterisk, type a tilde (~) in front of the question mark.</t>
  </si>
  <si>
    <t>The order of arguments differ between SUMIFS and SUMIF. In particular, the sum_range argument is the first argument in SUMIFS</t>
  </si>
  <si>
    <t>but it is the third argument in SUMIF. This is a common source of problems using these functions.</t>
  </si>
  <si>
    <t>Use the same number of rows and columns for range arguments.</t>
  </si>
  <si>
    <t>The Criteria_range argument must contain the same number of rows and columns as the Sum_range argument.</t>
  </si>
  <si>
    <t>COUNTIF Function</t>
  </si>
  <si>
    <r>
      <t>COUNTIF(</t>
    </r>
    <r>
      <rPr>
        <b/>
        <sz val="9"/>
        <color theme="1"/>
        <rFont val="Segoe UI"/>
        <family val="2"/>
      </rPr>
      <t>range, criteria</t>
    </r>
    <r>
      <rPr>
        <sz val="11"/>
        <color theme="1"/>
        <rFont val="Calibri"/>
        <family val="2"/>
        <scheme val="minor"/>
      </rPr>
      <t>)</t>
    </r>
  </si>
  <si>
    <t>The COUNTIF function syntax has the following arguments:</t>
  </si>
  <si>
    <r>
      <rPr>
        <b/>
        <i/>
        <sz val="9"/>
        <rFont val="Segoe UI"/>
        <family val="2"/>
      </rPr>
      <t>Range </t>
    </r>
    <r>
      <rPr>
        <i/>
        <sz val="9"/>
        <color rgb="FFFF0000"/>
        <rFont val="Segoe UI"/>
        <family val="2"/>
      </rPr>
      <t>  </t>
    </r>
    <r>
      <rPr>
        <sz val="11"/>
        <color theme="1"/>
        <rFont val="Calibri"/>
        <family val="2"/>
        <scheme val="minor"/>
      </rPr>
      <t>Required. The range of cells that you want to count by criteria. Cells in each range must be numbers or names, arrays, or references</t>
    </r>
  </si>
  <si>
    <r>
      <rPr>
        <b/>
        <i/>
        <sz val="9"/>
        <rFont val="Segoe UI"/>
        <family val="2"/>
      </rPr>
      <t>Criteria</t>
    </r>
    <r>
      <rPr>
        <b/>
        <sz val="9"/>
        <rFont val="Segoe UI"/>
        <family val="2"/>
      </rPr>
      <t> </t>
    </r>
    <r>
      <rPr>
        <sz val="11"/>
        <color theme="1"/>
        <rFont val="Calibri"/>
        <family val="2"/>
        <scheme val="minor"/>
      </rPr>
      <t>  Required. The criteria in the form of a number, expression, a cell reference, text, or a function that defines which cells will be counted.</t>
    </r>
  </si>
  <si>
    <r>
      <t>In its simplest form, COUNTIF says: COUNTIF(</t>
    </r>
    <r>
      <rPr>
        <b/>
        <sz val="9"/>
        <color theme="1"/>
        <rFont val="Segoe UI"/>
        <family val="2"/>
      </rPr>
      <t>Where do you want to look?, What do you want to look for</t>
    </r>
    <r>
      <rPr>
        <sz val="11"/>
        <color theme="1"/>
        <rFont val="Calibri"/>
        <family val="2"/>
        <scheme val="minor"/>
      </rPr>
      <t>?)</t>
    </r>
  </si>
  <si>
    <t>No value returned when you expect a value. Be sure to enclose the criteria argument in quotes.</t>
  </si>
  <si>
    <t>Be aware that COUNTIF ignores upper and lower case in text strings.</t>
  </si>
  <si>
    <t>Criteria aren't case sensitive. In other words, the string "apples" and the string "APPLES" will match the same cells.</t>
  </si>
  <si>
    <t>Make sure your data doesn't contain erroneous characters.</t>
  </si>
  <si>
    <t>When counting text values, make sure the data doesn't contain leading spaces, trailing spaces, inconsistent use of straight</t>
  </si>
  <si>
    <t>and curly quotation marks, or nonprinting characters. In these cases, COUNTIF might return an unexpected value.</t>
  </si>
  <si>
    <t>Try using the CLEAN function or the TRIM function.</t>
  </si>
  <si>
    <t>COUNTIFS Function</t>
  </si>
  <si>
    <t>COUNTIFS(criteria_range1, criteria1, [criteria_range2, criteria2]…)</t>
  </si>
  <si>
    <t>The COUNTIFS function syntax has the following arguments:</t>
  </si>
  <si>
    <r>
      <t>criteria_range1</t>
    </r>
    <r>
      <rPr>
        <sz val="9"/>
        <color rgb="FF363636"/>
        <rFont val="Segoe UI"/>
        <family val="2"/>
      </rPr>
      <t>    Required. The first range in which to evaluate the associated criteria.</t>
    </r>
  </si>
  <si>
    <r>
      <t>criteria1</t>
    </r>
    <r>
      <rPr>
        <sz val="9"/>
        <color rgb="FF363636"/>
        <rFont val="Segoe UI"/>
        <family val="2"/>
      </rPr>
      <t>    Required. The criteria in the form of a number, expression, cell reference, or text that define which cells</t>
    </r>
  </si>
  <si>
    <t>will be counted. For example, criteria can be expressed as 32, "&gt;32", B4, "apples", or "32".</t>
  </si>
  <si>
    <r>
      <t>criteria_range2, criteria2, ...</t>
    </r>
    <r>
      <rPr>
        <sz val="9"/>
        <color rgb="FF363636"/>
        <rFont val="Segoe UI"/>
        <family val="2"/>
      </rPr>
      <t>    Optional. Additional ranges and their associated criteria. Up to 127 range/criteria pairs are allowed.</t>
    </r>
  </si>
  <si>
    <t>AVERAGEIF Function</t>
  </si>
  <si>
    <t>AVERAGEIF(range, criteria, [average_range])</t>
  </si>
  <si>
    <t>The AVERAGEIF function syntax has the following arguments:</t>
  </si>
  <si>
    <r>
      <t>Range</t>
    </r>
    <r>
      <rPr>
        <sz val="9"/>
        <color rgb="FF363636"/>
        <rFont val="Segoe UI"/>
        <family val="2"/>
      </rPr>
      <t>    Required. One or more cells to average, including numbers or names, arrays, or references that contain numbers.</t>
    </r>
  </si>
  <si>
    <r>
      <t>Criteria</t>
    </r>
    <r>
      <rPr>
        <sz val="9"/>
        <color rgb="FF363636"/>
        <rFont val="Segoe UI"/>
        <family val="2"/>
      </rPr>
      <t>    Required. The criteria in the form of a number, expression, cell reference, or text that defines which cells</t>
    </r>
  </si>
  <si>
    <t>are averaged. For example, criteria can be expressed as 32, "32", "&gt;32", "apples", or B4.</t>
  </si>
  <si>
    <r>
      <t>Average_range</t>
    </r>
    <r>
      <rPr>
        <sz val="9"/>
        <color rgb="FF363636"/>
        <rFont val="Segoe UI"/>
        <family val="2"/>
      </rPr>
      <t>    Optional. The actual set of cells to average. If omitted, range is used.</t>
    </r>
  </si>
  <si>
    <t>AVERAGEIFS Function</t>
  </si>
  <si>
    <t>AVERAGEIFS(average_range, criteria_range1, criteria1, [criteria_range2, criteria2], ...)</t>
  </si>
  <si>
    <t>The AVERAGEIFS function syntax has the following arguments:</t>
  </si>
  <si>
    <r>
      <t>Average_range</t>
    </r>
    <r>
      <rPr>
        <sz val="9"/>
        <color rgb="FF363636"/>
        <rFont val="Segoe UI"/>
        <family val="2"/>
      </rPr>
      <t>    Required. One or more cells to average, including numbers or names, arrays, or references that contain numbers.</t>
    </r>
  </si>
  <si>
    <r>
      <t>Criteria_range1, criteria_range2, …</t>
    </r>
    <r>
      <rPr>
        <sz val="9"/>
        <color rgb="FF363636"/>
        <rFont val="Segoe UI"/>
        <family val="2"/>
      </rPr>
      <t>    Criteria_range1 is required, subsequent criteria_ranges are optional. 1 to 127 ranges</t>
    </r>
  </si>
  <si>
    <t>ranges in which to evaluate the associated criteria.</t>
  </si>
  <si>
    <r>
      <t>Criteria1, criteria2, ...</t>
    </r>
    <r>
      <rPr>
        <sz val="9"/>
        <color rgb="FF363636"/>
        <rFont val="Segoe UI"/>
        <family val="2"/>
      </rPr>
      <t>    Criteria1 is required, subsequent criteria are optional. 1 to 127 criteria in the form of a</t>
    </r>
  </si>
  <si>
    <t>number, expression, cell reference, or text that define which cells will be averaged. For example, criteria can be</t>
  </si>
  <si>
    <t>expressed as 32, "32", "&gt;32", "apples", or B4.</t>
  </si>
  <si>
    <t>IF function</t>
  </si>
  <si>
    <r>
      <t>IF(</t>
    </r>
    <r>
      <rPr>
        <b/>
        <i/>
        <sz val="9"/>
        <color theme="1"/>
        <rFont val="Segoe UI"/>
        <family val="2"/>
      </rPr>
      <t>logical_test, [value_if_true], [value_if_false]</t>
    </r>
    <r>
      <rPr>
        <sz val="11"/>
        <color theme="1"/>
        <rFont val="Calibri"/>
        <family val="2"/>
        <scheme val="minor"/>
      </rPr>
      <t>)</t>
    </r>
  </si>
  <si>
    <t>The IF function returns one value if a condition you specify evaluates to TRUE, and another value if that condition evaluates to FALSE</t>
  </si>
  <si>
    <t>For example, the formula =IF(A1&gt;10,"Over 10","10 or less") returns "Over 10" if A1 is greater than 10, and "10 or less" if A1 is less than</t>
  </si>
  <si>
    <t xml:space="preserve"> or equal to 10.</t>
  </si>
  <si>
    <r>
      <rPr>
        <i/>
        <sz val="9"/>
        <color rgb="FFFF0000"/>
        <rFont val="Segoe UI"/>
        <family val="2"/>
      </rPr>
      <t>Logical_test</t>
    </r>
    <r>
      <rPr>
        <sz val="11"/>
        <color theme="1"/>
        <rFont val="Calibri"/>
        <family val="2"/>
        <scheme val="minor"/>
      </rPr>
      <t xml:space="preserve"> Required. Any value or expression that can be evaluated to TRUE or FALSE. For example, A10=100 is a logical expression;</t>
    </r>
  </si>
  <si>
    <t xml:space="preserve"> if the value in cell A10 is equal to 100, the expression evaluates to TRUE. Otherwise, the expression evaluates to FALSE. This argument </t>
  </si>
  <si>
    <t>can use any comparison calculation operator.</t>
  </si>
  <si>
    <r>
      <rPr>
        <i/>
        <sz val="9"/>
        <color rgb="FFFF0000"/>
        <rFont val="Segoe UI"/>
        <family val="2"/>
      </rPr>
      <t>Value_if_true</t>
    </r>
    <r>
      <rPr>
        <sz val="11"/>
        <color theme="1"/>
        <rFont val="Calibri"/>
        <family val="2"/>
        <scheme val="minor"/>
      </rPr>
      <t xml:space="preserve"> Optional. The value that you want to be returned if the logical_test argument evaluates to TRUE</t>
    </r>
  </si>
  <si>
    <t>If logical_test evaluates to TRUE and the value_if_true argument is omitted (that is, there is only a comma following the logical_test</t>
  </si>
  <si>
    <t>argument), the IF function returns 0 (zero). To display the word TRUE, use the logical value TRUE for the value_if_true argument.</t>
  </si>
  <si>
    <r>
      <rPr>
        <i/>
        <sz val="9"/>
        <color rgb="FFFF0000"/>
        <rFont val="Segoe UI"/>
        <family val="2"/>
      </rPr>
      <t>Value_if_false</t>
    </r>
    <r>
      <rPr>
        <sz val="9"/>
        <rFont val="Segoe UI"/>
        <family val="2"/>
      </rPr>
      <t xml:space="preserve"> Optional. The value that you want to be returned if the logical_test argument evaluates to FALSE</t>
    </r>
  </si>
  <si>
    <t>If logical_test evaluates to FALSE and the value_if_false argument is omitted, (that is, there is no comma following the value_if_true</t>
  </si>
  <si>
    <t>argument), the IF function returns the logical value FALSE. If logical_test evaluates to FALSE and the value of the value_if_false</t>
  </si>
  <si>
    <t>argument is blank (that is, there is only a comma following the value_if_true argument), the IF function returns the value 0 (zero).</t>
  </si>
  <si>
    <t>AND Function</t>
  </si>
  <si>
    <r>
      <t>AND(</t>
    </r>
    <r>
      <rPr>
        <b/>
        <i/>
        <sz val="9"/>
        <color theme="1"/>
        <rFont val="Segoe UI"/>
        <family val="2"/>
      </rPr>
      <t>logical1, [logical2], ...</t>
    </r>
    <r>
      <rPr>
        <sz val="11"/>
        <color theme="1"/>
        <rFont val="Calibri"/>
        <family val="2"/>
        <scheme val="minor"/>
      </rPr>
      <t>)</t>
    </r>
  </si>
  <si>
    <t>The AND function returns TRUE if all its arguments evaluate to TRUE, and returns FALSE if one or more arguments evaluate to FALSE.</t>
  </si>
  <si>
    <t>One common use for the AND function is to expand the usefulness of other functions that perform logical tests. For example, </t>
  </si>
  <si>
    <t>the IF function performs a logical test and then returns one value if the test evaluates to TRUE and another value if the test evaluates to</t>
  </si>
  <si>
    <t>FALSE. By using the AND function as the logical_test argument of the IF function, you can test many different conditions instead of just one.</t>
  </si>
  <si>
    <r>
      <rPr>
        <i/>
        <sz val="9"/>
        <color rgb="FFFF0000"/>
        <rFont val="Segoe UI"/>
        <family val="2"/>
      </rPr>
      <t>Logical1</t>
    </r>
    <r>
      <rPr>
        <sz val="11"/>
        <color theme="1"/>
        <rFont val="Calibri"/>
        <family val="2"/>
        <scheme val="minor"/>
      </rPr>
      <t xml:space="preserve"> Required. The first condition that you want to test that can evaluate to either TRUE or FALSE.</t>
    </r>
  </si>
  <si>
    <r>
      <rPr>
        <i/>
        <sz val="9"/>
        <color rgb="FFFF0000"/>
        <rFont val="Segoe UI"/>
        <family val="2"/>
      </rPr>
      <t>Logical2, …</t>
    </r>
    <r>
      <rPr>
        <sz val="11"/>
        <color theme="1"/>
        <rFont val="Calibri"/>
        <family val="2"/>
        <scheme val="minor"/>
      </rPr>
      <t xml:space="preserve"> Optional. Additional conditions that you want to test that can evaluate to either TRUE or FALSE, up to a maximum of 255 conditions.</t>
    </r>
  </si>
  <si>
    <t>The arguments must evaluate to logical values, such as TRUE or FALSE, or the arguments must be arrays or references that contain logical values.</t>
  </si>
  <si>
    <t>If an array or reference argument contains text or empty cells, those values are ignored.</t>
  </si>
  <si>
    <t>Use the AND function, one of the logical functions, to determine if all conditions in a test are TRUE.</t>
  </si>
  <si>
    <t>Here are some general examples of using AND by itself, and in conjunction with the IF function.</t>
  </si>
  <si>
    <t>=AND(A2&gt;1,A2&lt;100) Displays TRUE if A2 is greater than 1 AND less than 100, otherwise it displays FALSE.</t>
  </si>
  <si>
    <t>=IF(AND(A3&gt;1,A3&lt;100),A3,"No") Displays the value in cell A3 if it is greater than 1 AND less than 100, otherwise No</t>
  </si>
  <si>
    <t>OR Function</t>
  </si>
  <si>
    <r>
      <t>OR(</t>
    </r>
    <r>
      <rPr>
        <b/>
        <i/>
        <sz val="9"/>
        <color theme="1"/>
        <rFont val="Segoe UI"/>
        <family val="2"/>
      </rPr>
      <t>logical1, [logical2], ...</t>
    </r>
    <r>
      <rPr>
        <sz val="11"/>
        <color theme="1"/>
        <rFont val="Calibri"/>
        <family val="2"/>
        <scheme val="minor"/>
      </rPr>
      <t>)</t>
    </r>
  </si>
  <si>
    <t>The OR function returns TRUE if any of its arguments evaluate to TRUE, and returns FALSE if all of its arguments evaluate to FALSE.</t>
  </si>
  <si>
    <t>One common use for the OR function is to expand the usefulness of other functions that perform logical tests. For example, </t>
  </si>
  <si>
    <t>the IF function performs a logical test and then returns one value if the test evaluates to TRUE and another value if the test evaluates</t>
  </si>
  <si>
    <t>to FALSE. By using the OR function as the logical_test argument of the IF function, you can test many different conditions instead</t>
  </si>
  <si>
    <t>of just one.</t>
  </si>
  <si>
    <t>Use the OR function, one of the logical functions, to determine if any conditions in a test are TRUE.</t>
  </si>
  <si>
    <t>NOT Function</t>
  </si>
  <si>
    <r>
      <t>NOT(</t>
    </r>
    <r>
      <rPr>
        <b/>
        <i/>
        <sz val="9"/>
        <color theme="1"/>
        <rFont val="Segoe UI"/>
        <family val="2"/>
      </rPr>
      <t>logical</t>
    </r>
    <r>
      <rPr>
        <sz val="11"/>
        <color theme="1"/>
        <rFont val="Calibri"/>
        <family val="2"/>
        <scheme val="minor"/>
      </rPr>
      <t>)</t>
    </r>
  </si>
  <si>
    <r>
      <rPr>
        <i/>
        <sz val="9"/>
        <color rgb="FFFF0000"/>
        <rFont val="Segoe UI"/>
        <family val="2"/>
      </rPr>
      <t>Logical    </t>
    </r>
    <r>
      <rPr>
        <sz val="11"/>
        <color theme="1"/>
        <rFont val="Calibri"/>
        <family val="2"/>
        <scheme val="minor"/>
      </rPr>
      <t>Required. A value or expression that can be evaluated to TRUE or FALSE.</t>
    </r>
  </si>
  <si>
    <t>The NOT function reverses the value of its argument.</t>
  </si>
  <si>
    <t>One common use for the NOT function is to expand the usefulness of other functions that perform logical tests. For example,</t>
  </si>
  <si>
    <t>to FALSE. By using the NOT function as the logical_test argument of the IF function, you can test many different conditions instead of just one.</t>
  </si>
  <si>
    <t>If logical is FALSE, NOT returns TRUE; if logical is TRUE, NOT returns FALSE.</t>
  </si>
  <si>
    <t>VLOOKUP Function</t>
  </si>
  <si>
    <r>
      <t>VLOOKUP(</t>
    </r>
    <r>
      <rPr>
        <b/>
        <i/>
        <sz val="9"/>
        <rFont val="Segoe UI"/>
        <family val="2"/>
      </rPr>
      <t>lookup value</t>
    </r>
    <r>
      <rPr>
        <b/>
        <sz val="9"/>
        <rFont val="Segoe UI"/>
        <family val="2"/>
      </rPr>
      <t xml:space="preserve">, </t>
    </r>
    <r>
      <rPr>
        <b/>
        <i/>
        <sz val="9"/>
        <rFont val="Segoe UI"/>
        <family val="2"/>
      </rPr>
      <t>table_array</t>
    </r>
    <r>
      <rPr>
        <b/>
        <sz val="9"/>
        <rFont val="Segoe UI"/>
        <family val="2"/>
      </rPr>
      <t xml:space="preserve">, </t>
    </r>
    <r>
      <rPr>
        <b/>
        <i/>
        <sz val="9"/>
        <rFont val="Segoe UI"/>
        <family val="2"/>
      </rPr>
      <t>column index</t>
    </r>
    <r>
      <rPr>
        <b/>
        <sz val="9"/>
        <rFont val="Segoe UI"/>
        <family val="2"/>
      </rPr>
      <t>, [</t>
    </r>
    <r>
      <rPr>
        <b/>
        <i/>
        <sz val="9"/>
        <rFont val="Segoe UI"/>
        <family val="2"/>
      </rPr>
      <t>range lookup</t>
    </r>
    <r>
      <rPr>
        <b/>
        <sz val="9"/>
        <rFont val="Segoe UI"/>
        <family val="2"/>
      </rPr>
      <t>]</t>
    </r>
    <r>
      <rPr>
        <sz val="11"/>
        <color theme="1"/>
        <rFont val="Calibri"/>
        <family val="2"/>
        <scheme val="minor"/>
      </rPr>
      <t>)</t>
    </r>
  </si>
  <si>
    <r>
      <rPr>
        <i/>
        <sz val="9"/>
        <color rgb="FFFF0000"/>
        <rFont val="Segoe UI"/>
        <family val="2"/>
      </rPr>
      <t>Lookup value</t>
    </r>
    <r>
      <rPr>
        <i/>
        <sz val="9"/>
        <color theme="1"/>
        <rFont val="Segoe UI"/>
        <family val="2"/>
      </rPr>
      <t xml:space="preserve"> </t>
    </r>
    <r>
      <rPr>
        <sz val="11"/>
        <color theme="1"/>
        <rFont val="Calibri"/>
        <family val="2"/>
        <scheme val="minor"/>
      </rPr>
      <t>is the value that you want to look up in the first column of the table range</t>
    </r>
  </si>
  <si>
    <r>
      <rPr>
        <i/>
        <sz val="9"/>
        <color rgb="FFFF0000"/>
        <rFont val="Segoe UI"/>
        <family val="2"/>
      </rPr>
      <t>Table array</t>
    </r>
    <r>
      <rPr>
        <i/>
        <sz val="9"/>
        <color theme="1"/>
        <rFont val="Segoe UI"/>
        <family val="2"/>
      </rPr>
      <t xml:space="preserve"> </t>
    </r>
    <r>
      <rPr>
        <sz val="11"/>
        <color theme="1"/>
        <rFont val="Calibri"/>
        <family val="2"/>
        <scheme val="minor"/>
      </rPr>
      <t>is the range that contains the lookup table. The table range includes the first column in which you try to match the lookup</t>
    </r>
  </si>
  <si>
    <t xml:space="preserve">value and any other columns in which you want to look up </t>
  </si>
  <si>
    <r>
      <rPr>
        <i/>
        <sz val="9"/>
        <color rgb="FFFF0000"/>
        <rFont val="Segoe UI"/>
        <family val="2"/>
      </rPr>
      <t>Column index</t>
    </r>
    <r>
      <rPr>
        <i/>
        <sz val="9"/>
        <color theme="1"/>
        <rFont val="Segoe UI"/>
        <family val="2"/>
      </rPr>
      <t xml:space="preserve"> </t>
    </r>
    <r>
      <rPr>
        <sz val="11"/>
        <color theme="1"/>
        <rFont val="Calibri"/>
        <family val="2"/>
        <scheme val="minor"/>
      </rPr>
      <t>is the column number in the table range from which the value of the lookup function is obtained</t>
    </r>
  </si>
  <si>
    <r>
      <rPr>
        <i/>
        <sz val="9"/>
        <color rgb="FFFF0000"/>
        <rFont val="Segoe UI"/>
        <family val="2"/>
      </rPr>
      <t>Range lookup</t>
    </r>
    <r>
      <rPr>
        <i/>
        <sz val="9"/>
        <color theme="1"/>
        <rFont val="Segoe UI"/>
        <family val="2"/>
      </rPr>
      <t xml:space="preserve"> </t>
    </r>
    <r>
      <rPr>
        <sz val="11"/>
        <color theme="1"/>
        <rFont val="Calibri"/>
        <family val="2"/>
        <scheme val="minor"/>
      </rPr>
      <t>is an optional argument. This is to allow you to specify an exact or approximate match.</t>
    </r>
  </si>
  <si>
    <t>If range_lookup is either TRUE or is omitted, an exact or approximate match is returned. If an exact match is not found,</t>
  </si>
  <si>
    <t>the next largest value that is less than lookup_value is returned. If range_lookup is either TRUE or is omitted, the values in the</t>
  </si>
  <si>
    <t>first column of table_array must be placed in ascending sort order; otherwise, VLOOKUP might not return the correct value.</t>
  </si>
  <si>
    <t>If range_lookup is FALSE, the values in the first column of table_array do not need to be sorted. If the range_lookup argument is FALSE,</t>
  </si>
  <si>
    <t>VLOOKUP will find only an exact match. If there are two or more values in the first column of table_array that match the lookup_value,</t>
  </si>
  <si>
    <t>the first value found is used. If an exact match is not found, the error value #N/A is returned. When searching number or date values,</t>
  </si>
  <si>
    <t xml:space="preserve">ensure that the data in the first column of table_array is not stored as text values. In this case, VLOOKUP might return an incorrect or </t>
  </si>
  <si>
    <t>unexpected value.</t>
  </si>
  <si>
    <t>INDEX Function</t>
  </si>
  <si>
    <t>The INDEX function allows you to return the entry in any row and column within an array of numbers.</t>
  </si>
  <si>
    <t>The most commonly used syntax for the INDEX function is the following:</t>
  </si>
  <si>
    <r>
      <t>INDEX(</t>
    </r>
    <r>
      <rPr>
        <b/>
        <i/>
        <sz val="9"/>
        <color theme="1"/>
        <rFont val="Segoe UI"/>
        <family val="2"/>
      </rPr>
      <t>Array,Row Number,Column Number</t>
    </r>
    <r>
      <rPr>
        <sz val="11"/>
        <color theme="1"/>
        <rFont val="Calibri"/>
        <family val="2"/>
        <scheme val="minor"/>
      </rPr>
      <t>)</t>
    </r>
  </si>
  <si>
    <r>
      <rPr>
        <i/>
        <sz val="9"/>
        <color rgb="FFFF0000"/>
        <rFont val="Segoe UI"/>
        <family val="2"/>
      </rPr>
      <t>Array</t>
    </r>
    <r>
      <rPr>
        <b/>
        <sz val="9"/>
        <color rgb="FFFF0000"/>
        <rFont val="Segoe UI"/>
        <family val="2"/>
      </rPr>
      <t>:</t>
    </r>
    <r>
      <rPr>
        <sz val="9"/>
        <color rgb="FFFF0000"/>
        <rFont val="Segoe UI"/>
        <family val="2"/>
      </rPr>
      <t xml:space="preserve"> </t>
    </r>
    <r>
      <rPr>
        <sz val="9"/>
        <rFont val="Segoe UI"/>
        <family val="2"/>
      </rPr>
      <t>is the range that contains the lookup value</t>
    </r>
  </si>
  <si>
    <r>
      <rPr>
        <i/>
        <sz val="9"/>
        <color rgb="FFFF0000"/>
        <rFont val="Segoe UI"/>
        <family val="2"/>
      </rPr>
      <t>Row number  and Column number</t>
    </r>
    <r>
      <rPr>
        <sz val="11"/>
        <color theme="1"/>
        <rFont val="Calibri"/>
        <family val="2"/>
        <scheme val="minor"/>
      </rPr>
      <t>: returns the entry in the intersection of the specified row and column of the array</t>
    </r>
  </si>
  <si>
    <t>The Row and Column numbers are often made dynamic by the MATCH function</t>
  </si>
  <si>
    <t>MATCH Function</t>
  </si>
  <si>
    <t>The syntax for the MATCH function is</t>
  </si>
  <si>
    <r>
      <t>MATCH(</t>
    </r>
    <r>
      <rPr>
        <b/>
        <i/>
        <sz val="9"/>
        <color theme="1"/>
        <rFont val="Segoe UI"/>
        <family val="2"/>
      </rPr>
      <t>lookup value,lookup range,[match type]</t>
    </r>
    <r>
      <rPr>
        <sz val="11"/>
        <color theme="1"/>
        <rFont val="Calibri"/>
        <family val="2"/>
        <scheme val="minor"/>
      </rPr>
      <t>)</t>
    </r>
  </si>
  <si>
    <r>
      <rPr>
        <i/>
        <sz val="9"/>
        <color rgb="FFFF0000"/>
        <rFont val="Segoe UI"/>
        <family val="2"/>
      </rPr>
      <t>Lookup value</t>
    </r>
    <r>
      <rPr>
        <sz val="11"/>
        <color theme="1"/>
        <rFont val="Calibri"/>
        <family val="2"/>
        <scheme val="minor"/>
      </rPr>
      <t xml:space="preserve"> is the value you’re trying to match in the lookup range.</t>
    </r>
  </si>
  <si>
    <r>
      <rPr>
        <i/>
        <sz val="9"/>
        <color rgb="FFFF0000"/>
        <rFont val="Segoe UI"/>
        <family val="2"/>
      </rPr>
      <t>Lookup range</t>
    </r>
    <r>
      <rPr>
        <sz val="9"/>
        <rFont val="Segoe UI"/>
        <family val="2"/>
      </rPr>
      <t xml:space="preserve"> is the range you’re examining for a match to the lookup value. The lookup range must be a row or column</t>
    </r>
  </si>
  <si>
    <r>
      <rPr>
        <i/>
        <sz val="9"/>
        <color rgb="FFFF0000"/>
        <rFont val="Segoe UI"/>
        <family val="2"/>
      </rPr>
      <t>Match type = 1</t>
    </r>
    <r>
      <rPr>
        <sz val="11"/>
        <color theme="1"/>
        <rFont val="Calibri"/>
        <family val="2"/>
        <scheme val="minor"/>
      </rPr>
      <t xml:space="preserve"> requires the lookup range to consist of numbers listed in ascending order. The MATCH function then returns the row</t>
    </r>
  </si>
  <si>
    <t xml:space="preserve">location in the lookup range (relative to the top of the lookup range) that contains the largest value in the range that is less than or </t>
  </si>
  <si>
    <t>equal to the lookup value. Match type 1 simply means approximate match</t>
  </si>
  <si>
    <r>
      <rPr>
        <i/>
        <sz val="9"/>
        <color rgb="FFFF0000"/>
        <rFont val="Segoe UI"/>
        <family val="2"/>
      </rPr>
      <t>Match type = 0</t>
    </r>
    <r>
      <rPr>
        <sz val="11"/>
        <color theme="1"/>
        <rFont val="Calibri"/>
        <family val="2"/>
        <scheme val="minor"/>
      </rPr>
      <t xml:space="preserve"> returns the row location in the lookup range that contains the first exact match to the lookup value.</t>
    </r>
  </si>
  <si>
    <r>
      <rPr>
        <i/>
        <sz val="9"/>
        <color rgb="FFFF0000"/>
        <rFont val="Segoe UI"/>
        <family val="2"/>
      </rPr>
      <t>Match type=–1</t>
    </r>
    <r>
      <rPr>
        <sz val="11"/>
        <color theme="1"/>
        <rFont val="Calibri"/>
        <family val="2"/>
        <scheme val="minor"/>
      </rPr>
      <t xml:space="preserve"> requires the lookup range to consist of numbers listed in descending order. The MATCH function returns the row</t>
    </r>
  </si>
  <si>
    <t xml:space="preserve">location in the lookup range (relative to the top of the lookup range) that contains the last value in the range that is greater than or </t>
  </si>
  <si>
    <t>equal to the lookup value.</t>
  </si>
  <si>
    <t>HLOOKUP Function</t>
  </si>
  <si>
    <r>
      <t>HLOOKUP(</t>
    </r>
    <r>
      <rPr>
        <b/>
        <i/>
        <sz val="9"/>
        <rFont val="Segoe UI"/>
        <family val="2"/>
      </rPr>
      <t>lookup value</t>
    </r>
    <r>
      <rPr>
        <b/>
        <sz val="9"/>
        <rFont val="Segoe UI"/>
        <family val="2"/>
      </rPr>
      <t xml:space="preserve">, </t>
    </r>
    <r>
      <rPr>
        <b/>
        <i/>
        <sz val="9"/>
        <rFont val="Segoe UI"/>
        <family val="2"/>
      </rPr>
      <t>table_array</t>
    </r>
    <r>
      <rPr>
        <b/>
        <sz val="9"/>
        <rFont val="Segoe UI"/>
        <family val="2"/>
      </rPr>
      <t>, row</t>
    </r>
    <r>
      <rPr>
        <b/>
        <i/>
        <sz val="9"/>
        <rFont val="Segoe UI"/>
        <family val="2"/>
      </rPr>
      <t xml:space="preserve"> index</t>
    </r>
    <r>
      <rPr>
        <b/>
        <sz val="9"/>
        <rFont val="Segoe UI"/>
        <family val="2"/>
      </rPr>
      <t>, [</t>
    </r>
    <r>
      <rPr>
        <b/>
        <i/>
        <sz val="9"/>
        <rFont val="Segoe UI"/>
        <family val="2"/>
      </rPr>
      <t>range lookup</t>
    </r>
    <r>
      <rPr>
        <b/>
        <sz val="9"/>
        <rFont val="Segoe UI"/>
        <family val="2"/>
      </rPr>
      <t>]</t>
    </r>
    <r>
      <rPr>
        <sz val="11"/>
        <color theme="1"/>
        <rFont val="Calibri"/>
        <family val="2"/>
        <scheme val="minor"/>
      </rPr>
      <t>)</t>
    </r>
  </si>
  <si>
    <r>
      <rPr>
        <i/>
        <sz val="9"/>
        <color rgb="FFFF0000"/>
        <rFont val="Segoe UI"/>
        <family val="2"/>
      </rPr>
      <t>Row index</t>
    </r>
    <r>
      <rPr>
        <i/>
        <sz val="9"/>
        <color theme="1"/>
        <rFont val="Segoe UI"/>
        <family val="2"/>
      </rPr>
      <t xml:space="preserve"> </t>
    </r>
    <r>
      <rPr>
        <sz val="11"/>
        <color theme="1"/>
        <rFont val="Calibri"/>
        <family val="2"/>
        <scheme val="minor"/>
      </rPr>
      <t>is the column number in the table range from which the value of the lookup function is obtained</t>
    </r>
  </si>
  <si>
    <t>first column of table_array must be placed in ascending sort order; otherwise, HLOOKUP might not return the correct value.</t>
  </si>
  <si>
    <t>HLOOKUP will find only an exact match. If there are two or more values in the first column of table_array that match the lookup_value,</t>
  </si>
  <si>
    <t xml:space="preserve">ensure that the data in the first column of table_array is not stored as text values. In this case, HLOOKUP might return an incorrect or </t>
  </si>
  <si>
    <t>Left Function</t>
  </si>
  <si>
    <r>
      <t>Left(text</t>
    </r>
    <r>
      <rPr>
        <b/>
        <i/>
        <sz val="9"/>
        <color theme="1"/>
        <rFont val="Segoe UI"/>
        <family val="2"/>
      </rPr>
      <t>, [num_chars]</t>
    </r>
    <r>
      <rPr>
        <sz val="11"/>
        <color theme="1"/>
        <rFont val="Calibri"/>
        <family val="2"/>
        <scheme val="minor"/>
      </rPr>
      <t>)</t>
    </r>
  </si>
  <si>
    <t>The function LEFT(text,k) returns the first k characters in a text string.</t>
  </si>
  <si>
    <t>Right Function</t>
  </si>
  <si>
    <r>
      <t>Right(text</t>
    </r>
    <r>
      <rPr>
        <b/>
        <i/>
        <sz val="9"/>
        <color theme="1"/>
        <rFont val="Segoe UI"/>
        <family val="2"/>
      </rPr>
      <t>, [num_chars]</t>
    </r>
    <r>
      <rPr>
        <sz val="11"/>
        <color theme="1"/>
        <rFont val="Calibri"/>
        <family val="2"/>
        <scheme val="minor"/>
      </rPr>
      <t>)</t>
    </r>
  </si>
  <si>
    <t>The function RIGHT(text,k) returns the last k characters in a text string.</t>
  </si>
  <si>
    <t>Mid Function</t>
  </si>
  <si>
    <r>
      <t>Mid(text</t>
    </r>
    <r>
      <rPr>
        <b/>
        <i/>
        <sz val="9"/>
        <color theme="1"/>
        <rFont val="Segoe UI"/>
        <family val="2"/>
      </rPr>
      <t>, start_num, num_chars</t>
    </r>
    <r>
      <rPr>
        <sz val="11"/>
        <color theme="1"/>
        <rFont val="Calibri"/>
        <family val="2"/>
        <scheme val="minor"/>
      </rPr>
      <t>)</t>
    </r>
  </si>
  <si>
    <t>The function MID(text,k,m) begins at character k of a text string and returns the next m characters.</t>
  </si>
  <si>
    <t>Trim Function</t>
  </si>
  <si>
    <r>
      <t>Trim(</t>
    </r>
    <r>
      <rPr>
        <b/>
        <sz val="9"/>
        <color theme="1"/>
        <rFont val="Segoe UI"/>
        <family val="2"/>
      </rPr>
      <t>text</t>
    </r>
    <r>
      <rPr>
        <sz val="11"/>
        <color theme="1"/>
        <rFont val="Calibri"/>
        <family val="2"/>
        <scheme val="minor"/>
      </rPr>
      <t>)</t>
    </r>
  </si>
  <si>
    <t>The function TRIM(text) removes all spaces from a text string except for single spaces between words.</t>
  </si>
  <si>
    <t>Len Function</t>
  </si>
  <si>
    <r>
      <t>Len(</t>
    </r>
    <r>
      <rPr>
        <b/>
        <sz val="9"/>
        <color theme="1"/>
        <rFont val="Segoe UI"/>
        <family val="2"/>
      </rPr>
      <t>text</t>
    </r>
    <r>
      <rPr>
        <sz val="11"/>
        <color theme="1"/>
        <rFont val="Calibri"/>
        <family val="2"/>
        <scheme val="minor"/>
      </rPr>
      <t>)</t>
    </r>
  </si>
  <si>
    <t>The function LEN(text) returns the number of characters in a text string (including spaces)</t>
  </si>
  <si>
    <t>Find Function</t>
  </si>
  <si>
    <r>
      <t>Find(</t>
    </r>
    <r>
      <rPr>
        <b/>
        <sz val="9"/>
        <color theme="1"/>
        <rFont val="Segoe UI"/>
        <family val="2"/>
      </rPr>
      <t>find_text, within_text, [num_char]</t>
    </r>
    <r>
      <rPr>
        <sz val="11"/>
        <color theme="1"/>
        <rFont val="Calibri"/>
        <family val="2"/>
        <scheme val="minor"/>
      </rPr>
      <t>)</t>
    </r>
  </si>
  <si>
    <t>The function FIND(text_to_find,actual_text,k) returns the location at or after character k of the first character of text to find in actual text</t>
  </si>
  <si>
    <t>FIND is case sensitive.</t>
  </si>
  <si>
    <t>Search Function</t>
  </si>
  <si>
    <r>
      <t>Search(</t>
    </r>
    <r>
      <rPr>
        <b/>
        <sz val="9"/>
        <color theme="1"/>
        <rFont val="Segoe UI"/>
        <family val="2"/>
      </rPr>
      <t>find_text, within_text, [num_char]</t>
    </r>
    <r>
      <rPr>
        <sz val="11"/>
        <color theme="1"/>
        <rFont val="Calibri"/>
        <family val="2"/>
        <scheme val="minor"/>
      </rPr>
      <t>)</t>
    </r>
  </si>
  <si>
    <r>
      <t xml:space="preserve">SEARCH has the same syntax as FIND, but it is </t>
    </r>
    <r>
      <rPr>
        <b/>
        <sz val="9"/>
        <color theme="1"/>
        <rFont val="Segoe UI"/>
        <family val="2"/>
      </rPr>
      <t>not case sensitive.</t>
    </r>
  </si>
  <si>
    <t>Rept Function</t>
  </si>
  <si>
    <r>
      <t>REPT(</t>
    </r>
    <r>
      <rPr>
        <b/>
        <sz val="9"/>
        <color theme="1"/>
        <rFont val="Segoe UI"/>
        <family val="2"/>
      </rPr>
      <t>text,number_of_times</t>
    </r>
    <r>
      <rPr>
        <sz val="11"/>
        <color theme="1"/>
        <rFont val="Calibri"/>
        <family val="2"/>
        <scheme val="minor"/>
      </rPr>
      <t>)</t>
    </r>
  </si>
  <si>
    <t>The REPT function allows you to repeat a text string a specified number of times.</t>
  </si>
  <si>
    <t>Concatenate Function</t>
  </si>
  <si>
    <r>
      <t>The function CONCATENATE(</t>
    </r>
    <r>
      <rPr>
        <b/>
        <sz val="9"/>
        <color theme="1"/>
        <rFont val="Segoe UI"/>
        <family val="2"/>
      </rPr>
      <t>text1,text2, . . .,text30</t>
    </r>
    <r>
      <rPr>
        <sz val="11"/>
        <color theme="1"/>
        <rFont val="Calibri"/>
        <family val="2"/>
        <scheme val="minor"/>
      </rPr>
      <t>) can be used to join as many as 30 text strings in a single string.</t>
    </r>
  </si>
  <si>
    <t>The &amp; operator can be used instead of CONCATENATE.</t>
  </si>
  <si>
    <t>Replace Function</t>
  </si>
  <si>
    <r>
      <t>REPLACE(</t>
    </r>
    <r>
      <rPr>
        <b/>
        <sz val="9"/>
        <color theme="1"/>
        <rFont val="Segoe UI"/>
        <family val="2"/>
      </rPr>
      <t>old_text,k,m,new_text</t>
    </r>
    <r>
      <rPr>
        <sz val="11"/>
        <color theme="1"/>
        <rFont val="Calibri"/>
        <family val="2"/>
        <scheme val="minor"/>
      </rPr>
      <t>)</t>
    </r>
  </si>
  <si>
    <t>The function REPLACE(old_text,k,m,new_text) begins at character k of old text and replaces the next m characters with the new text.</t>
  </si>
  <si>
    <t>Substitute Function</t>
  </si>
  <si>
    <r>
      <t>SUBSTITUTE(</t>
    </r>
    <r>
      <rPr>
        <b/>
        <sz val="9"/>
        <color theme="1"/>
        <rFont val="Segoe UI"/>
        <family val="2"/>
      </rPr>
      <t>cell,old_text,new_text,instance_number</t>
    </r>
    <r>
      <rPr>
        <sz val="11"/>
        <color theme="1"/>
        <rFont val="Calibri"/>
        <family val="2"/>
        <scheme val="minor"/>
      </rPr>
      <t>)</t>
    </r>
  </si>
  <si>
    <t>The SUBSTITUTE function is used to replace specific text in a cell when you do not know the position of the text</t>
  </si>
  <si>
    <t>The syntax of the SUBSTITUTE function is SUBSTITUTE(cell,old_text,new_text,instance_number). The last argument is optional</t>
  </si>
  <si>
    <t>If it’s omitted, every occurrence of old_text in the cell is replaced by new text. If the last argument is included (say with a value of n),</t>
  </si>
  <si>
    <t>then only the nth instance of the old_text is replaced by the new_text.</t>
  </si>
  <si>
    <t>Value Function</t>
  </si>
  <si>
    <r>
      <t>The function VALUE(</t>
    </r>
    <r>
      <rPr>
        <b/>
        <sz val="9"/>
        <color theme="1"/>
        <rFont val="Segoe UI"/>
        <family val="2"/>
      </rPr>
      <t>text</t>
    </r>
    <r>
      <rPr>
        <sz val="11"/>
        <color theme="1"/>
        <rFont val="Calibri"/>
        <family val="2"/>
        <scheme val="minor"/>
      </rPr>
      <t>) converts a text string that represents a number to a number.</t>
    </r>
  </si>
  <si>
    <t>Upper Function</t>
  </si>
  <si>
    <r>
      <t>The function UPPER(</t>
    </r>
    <r>
      <rPr>
        <b/>
        <sz val="9"/>
        <color theme="1"/>
        <rFont val="Segoe UI"/>
        <family val="2"/>
      </rPr>
      <t>text</t>
    </r>
    <r>
      <rPr>
        <sz val="11"/>
        <color theme="1"/>
        <rFont val="Calibri"/>
        <family val="2"/>
        <scheme val="minor"/>
      </rPr>
      <t>) changes text to all uppercase.</t>
    </r>
  </si>
  <si>
    <t>Lower Function</t>
  </si>
  <si>
    <r>
      <t>The function LOWER(</t>
    </r>
    <r>
      <rPr>
        <b/>
        <sz val="9"/>
        <color theme="1"/>
        <rFont val="Segoe UI"/>
        <family val="2"/>
      </rPr>
      <t>text</t>
    </r>
    <r>
      <rPr>
        <sz val="11"/>
        <color theme="1"/>
        <rFont val="Calibri"/>
        <family val="2"/>
        <scheme val="minor"/>
      </rPr>
      <t>) changes the capital letters text to all lowercase.</t>
    </r>
  </si>
  <si>
    <t>Proper Function</t>
  </si>
  <si>
    <r>
      <t>The function PROPER(</t>
    </r>
    <r>
      <rPr>
        <b/>
        <sz val="9"/>
        <color theme="1"/>
        <rFont val="Segoe UI"/>
        <family val="2"/>
      </rPr>
      <t>text</t>
    </r>
    <r>
      <rPr>
        <sz val="11"/>
        <color theme="1"/>
        <rFont val="Calibri"/>
        <family val="2"/>
        <scheme val="minor"/>
      </rPr>
      <t>) restores the proper case, capitalizing initial letters</t>
    </r>
  </si>
  <si>
    <t>Char Function</t>
  </si>
  <si>
    <t>The function CHAR(number) yields (for a number between 1 and 255) the ASCII character identified with that number.</t>
  </si>
  <si>
    <r>
      <t>SUBSTITUTE(</t>
    </r>
    <r>
      <rPr>
        <b/>
        <sz val="9"/>
        <color theme="1"/>
        <rFont val="Segoe UI"/>
        <family val="2"/>
      </rPr>
      <t>text,old_text,new_text,instance_number</t>
    </r>
    <r>
      <rPr>
        <sz val="11"/>
        <color theme="1"/>
        <rFont val="Calibri"/>
        <family val="2"/>
        <scheme val="minor"/>
      </rPr>
      <t>)</t>
    </r>
  </si>
  <si>
    <t>The SUBSTITUTE function is used to replace specific text in a cell when you do not know the position of the text.</t>
  </si>
  <si>
    <t>The last argument is optional. If it’s omitted, every occurrence of old_text in the cell is replaced by the new_text</t>
  </si>
  <si>
    <t>If the last argument is included (say with a value of n), then only the nth instance of old_text is replaced by new_text.</t>
  </si>
  <si>
    <t>Replace replaces a portion of text with a new piece of text.</t>
  </si>
  <si>
    <t>DATE function</t>
  </si>
  <si>
    <t>Returns the serial number of a particular date</t>
  </si>
  <si>
    <t>DATEDIF function</t>
  </si>
  <si>
    <t>Calculates the number of days, months, or years between two dates. This function is useful in formulas where you need to calculate an age.</t>
  </si>
  <si>
    <t>DATEVALUE function</t>
  </si>
  <si>
    <t>Converts a date in the form of text to a serial number</t>
  </si>
  <si>
    <t>DAY function</t>
  </si>
  <si>
    <t>Converts a serial number to a day of the month</t>
  </si>
  <si>
    <t>EDATE function</t>
  </si>
  <si>
    <t>Returns the serial number of the date that is the indicated number of months before or after the start date</t>
  </si>
  <si>
    <t>EOMONTH function</t>
  </si>
  <si>
    <t>Returns the serial number of the last day of the month before or after a specified number of months</t>
  </si>
  <si>
    <t>MONTH function</t>
  </si>
  <si>
    <t>Converts a serial number to a month</t>
  </si>
  <si>
    <t>NETWORKDAYS function</t>
  </si>
  <si>
    <t>Returns the number of whole workdays between two dates</t>
  </si>
  <si>
    <t>NETWORKDAYS.INTL function</t>
  </si>
  <si>
    <t>Returns the number of whole workdays between two dates using parameters to indicate which and how many days are weekend days</t>
  </si>
  <si>
    <t>NOW function</t>
  </si>
  <si>
    <t>Returns the serial number of the current date and time</t>
  </si>
  <si>
    <t>TIMEVALUE function</t>
  </si>
  <si>
    <t>Converts a time in the form of text to a serial number</t>
  </si>
  <si>
    <t>TODAY function</t>
  </si>
  <si>
    <t>Returns the serial number of today's date</t>
  </si>
  <si>
    <t>WEEKDAY function</t>
  </si>
  <si>
    <t>Converts a serial number to a day of the week</t>
  </si>
  <si>
    <t>WEEKNUM function</t>
  </si>
  <si>
    <t>Converts a serial number to a number representing where the week falls numerically with a year</t>
  </si>
  <si>
    <t>WORKDAY function</t>
  </si>
  <si>
    <t>Returns the serial number of the date before or after a specified number of workdays</t>
  </si>
  <si>
    <t>WORKDAY.INTL function</t>
  </si>
  <si>
    <t>Returns the serial number of the date before or after a specified number of workdays using parameters to indicate which and how many days are weekend days</t>
  </si>
  <si>
    <t>YEAR function</t>
  </si>
  <si>
    <t>Converts a serial number to a year</t>
  </si>
  <si>
    <t>PV Function</t>
  </si>
  <si>
    <r>
      <t>PV(rate</t>
    </r>
    <r>
      <rPr>
        <b/>
        <i/>
        <sz val="9"/>
        <color theme="1"/>
        <rFont val="Segoe UI"/>
        <family val="2"/>
      </rPr>
      <t>,nper, pmt, [fv], [type]</t>
    </r>
    <r>
      <rPr>
        <sz val="11"/>
        <color theme="1"/>
        <rFont val="Calibri"/>
        <family val="2"/>
        <scheme val="minor"/>
      </rPr>
      <t>)</t>
    </r>
  </si>
  <si>
    <t>Rate is the interest rate per period.</t>
  </si>
  <si>
    <t>nper is the number of periods in the annuity. Your rate must, of course, be consistent with nper. That is, if nper implies a period is a month,</t>
  </si>
  <si>
    <t>you must use a monthly 'interest rate; if #per implies a period is a year, you must use an annual interest rate.</t>
  </si>
  <si>
    <t>Pmt is the payment made each period. A payment has a negative sign, whereas money received has a positive sign.</t>
  </si>
  <si>
    <t>Fv is the cash balance (or future value) you want to have after the last payment is made.</t>
  </si>
  <si>
    <t>Type is either 0 or 1 and indicates when payments are made. When type is omitted or equal to 0, payments are made at the end of each period.</t>
  </si>
  <si>
    <t>When type=1, payments are made at the beginning of each period. Note that you may also write True instead of 1 and False instead of</t>
  </si>
  <si>
    <t>0 in all functions discussed in this chapter.</t>
  </si>
  <si>
    <t>FV Function</t>
  </si>
  <si>
    <r>
      <t>FV(rate</t>
    </r>
    <r>
      <rPr>
        <b/>
        <i/>
        <sz val="9"/>
        <color theme="1"/>
        <rFont val="Segoe UI"/>
        <family val="2"/>
      </rPr>
      <t>,nper, pmt, [fv], [type]</t>
    </r>
    <r>
      <rPr>
        <sz val="11"/>
        <color theme="1"/>
        <rFont val="Calibri"/>
        <family val="2"/>
        <scheme val="minor"/>
      </rPr>
      <t>)</t>
    </r>
  </si>
  <si>
    <t>PV is the present value of all the payments. That is, pv is the amount of the loan.</t>
  </si>
  <si>
    <t>PMT Function</t>
  </si>
  <si>
    <t>Rate is the per-period interest rate of the loan.</t>
  </si>
  <si>
    <t>nper is the number of payments made.</t>
  </si>
  <si>
    <t>Pv is the present value of all the payments. That is, pv is the amount of the loan.</t>
  </si>
  <si>
    <t xml:space="preserve">Fv indicates the future value of the final loan balance you want to have after making the last payment. If fv is omitted, </t>
  </si>
  <si>
    <t>Excel assumes that it equals 0.</t>
  </si>
  <si>
    <t>Type is 0 or 1 and indicates when payments are due. If type equals 0 or is omitted, then payments are made at the end of the period.</t>
  </si>
  <si>
    <t>If type equals 1, then payments are made or money is deposited at the beginning of the period.</t>
  </si>
  <si>
    <t>CUMPRINC Function</t>
  </si>
  <si>
    <t>CUMPRINC(rate,nper,pv,start period,end period,type).</t>
  </si>
  <si>
    <t>The CUMPRINC (cumulative principal) function computes the principal paid between two periods (inclusive).</t>
  </si>
  <si>
    <t>Rate, nper, pv, and type have the same meanings as described previously.</t>
  </si>
  <si>
    <t>CUMIPMT Function</t>
  </si>
  <si>
    <t>CUMIPMT(rate,nper,pv,start period,end period,type).</t>
  </si>
  <si>
    <t>The CUMIPMT (cumulative interest payment) function computes the interest paid between two periods (inclusive).</t>
  </si>
  <si>
    <t>NPER Function</t>
  </si>
  <si>
    <t>NPER(rate,pmt,pv,[fv],[type])</t>
  </si>
  <si>
    <t>rate, pmt, pv, fv, and type have the same meanings as previously described</t>
  </si>
  <si>
    <t>RATE Function</t>
  </si>
  <si>
    <t>RATE(nper,pmt,pv,[fv],[type],[guess])</t>
  </si>
  <si>
    <t>nper, pmt, pv, fv, and type have the same meanings as previously described</t>
  </si>
  <si>
    <t>Straight-Line depreciation (SLN)</t>
  </si>
  <si>
    <t>SLN(Cost,Salvage_Value,Years)</t>
  </si>
  <si>
    <t>Compute Straight-Line depreciation</t>
  </si>
  <si>
    <t>Sum-of-Years’ Digits depreciation (SYD)</t>
  </si>
  <si>
    <t>SYD(Cost,Salvage_Value,Years,Period)</t>
  </si>
  <si>
    <t>Compute Sum-of-Years’ Digits depreciation</t>
  </si>
  <si>
    <t>Double-Declining-Balance depreciation (DDB)</t>
  </si>
  <si>
    <t>DDB(Cost,Salvage_Value,Years Period)</t>
  </si>
  <si>
    <t>Compute Double-Declining-Balance depreciation</t>
  </si>
  <si>
    <t>Declining-Balance depreciation (DB)</t>
  </si>
  <si>
    <t>DB(Cost,Salvage_Value,Years Period)</t>
  </si>
  <si>
    <t>Compute Declining-Balance depreciation</t>
  </si>
  <si>
    <t>NPV Function</t>
  </si>
  <si>
    <t>NPV(rate,range of cells)</t>
  </si>
  <si>
    <t xml:space="preserve">This function determines the NPV for the given rate of the cash flows in the range of cells. </t>
  </si>
  <si>
    <t>The function’s calculation assumes that the first cash flow is one period from now.</t>
  </si>
  <si>
    <t>XNPV Function</t>
  </si>
  <si>
    <t>XNPV(rate,values,dates)</t>
  </si>
  <si>
    <t xml:space="preserve">The first date listed must be the earliest, but other dates need not be listed in chronological order. </t>
  </si>
  <si>
    <t>The XNPV function computes the NPV of the given cash flows assuming the current date is the first date in the sequence</t>
  </si>
  <si>
    <t>The XNPV function determines the NPV of a sequence of cash flows that occur on any set of irregularly spaced dates.</t>
  </si>
  <si>
    <t>IRR Function</t>
  </si>
  <si>
    <t>IRR(range of cash flows,[guess])</t>
  </si>
  <si>
    <t>The IRR function calculates internal rate of return.</t>
  </si>
  <si>
    <t>XIRR Function</t>
  </si>
  <si>
    <t>XIRR(cash flow, dates, [guess])</t>
  </si>
  <si>
    <t>The XIRR function determines the IRR of a sequence of cash flows that occur on any set of irregularly spaced dates.</t>
  </si>
  <si>
    <t>MIRR Function</t>
  </si>
  <si>
    <t>MIRR(cash_flow_values,borrowing_rate,reinvestment_rate)</t>
  </si>
  <si>
    <t xml:space="preserve">If we know the actual rate at which we borrow money and the rate at which we can reinvest money, </t>
  </si>
  <si>
    <t>the modified internal rate of return (MIRR) function computes a discount rate that makes the NPV of all our cash flows</t>
  </si>
  <si>
    <r>
      <t xml:space="preserve">Convert the data into a Table named </t>
    </r>
    <r>
      <rPr>
        <b/>
        <i/>
        <sz val="10"/>
        <color theme="1"/>
        <rFont val="Segoe UI"/>
        <family val="2"/>
      </rPr>
      <t>AppleData</t>
    </r>
  </si>
  <si>
    <t>Apple Store Sales - 2019/2020</t>
  </si>
  <si>
    <t>Salesperson</t>
  </si>
  <si>
    <t>Customer</t>
  </si>
  <si>
    <t>Leon, Emily</t>
  </si>
  <si>
    <t>Done Deals Ltd</t>
  </si>
  <si>
    <t>Airpod</t>
  </si>
  <si>
    <t>Christensen, Jill</t>
  </si>
  <si>
    <t>Corporate</t>
  </si>
  <si>
    <t>Macbook</t>
  </si>
  <si>
    <t>Vaughn, Harlon</t>
  </si>
  <si>
    <t>Compu Ghana</t>
  </si>
  <si>
    <t>iPhone</t>
  </si>
  <si>
    <t>Owen, Robert</t>
  </si>
  <si>
    <t>Walk IN</t>
  </si>
  <si>
    <t>Arnold, Cole</t>
  </si>
  <si>
    <t>Kelly, Icelita</t>
  </si>
  <si>
    <t>Apple Watch</t>
  </si>
  <si>
    <t>Livingston, Lynette</t>
  </si>
  <si>
    <t>iPad</t>
  </si>
  <si>
    <t>Feddie's Corner</t>
  </si>
  <si>
    <t>Maynard, Susan</t>
  </si>
  <si>
    <t>Lucas, John</t>
  </si>
  <si>
    <t>Byrd, Asa</t>
  </si>
  <si>
    <t>McCullough, Scott</t>
  </si>
  <si>
    <t>Norman, Rita</t>
  </si>
  <si>
    <t>What is the total sales?</t>
  </si>
  <si>
    <t>What is the average sales?</t>
  </si>
  <si>
    <t>What is the total number of transactions recorded?</t>
  </si>
  <si>
    <t>What is the highest commission?</t>
  </si>
  <si>
    <t>What is the lowest commission?</t>
  </si>
  <si>
    <t>What is the total sales of Airpods?</t>
  </si>
  <si>
    <t>On an average, how much sales was made to COMPU GHANA?</t>
  </si>
  <si>
    <t>How many times did Done Deals Ltd purchased from the store?</t>
  </si>
  <si>
    <t>How many transactions were done after 12/09/2019?</t>
  </si>
  <si>
    <t>What is the total commission paid to employees who sold Macbooks to Freddie's Corner?</t>
  </si>
  <si>
    <r>
      <t xml:space="preserve">How much of Owen, Robert's commission was </t>
    </r>
    <r>
      <rPr>
        <b/>
        <sz val="10"/>
        <color theme="1"/>
        <rFont val="Segoe UI"/>
        <family val="2"/>
      </rPr>
      <t>NOT</t>
    </r>
    <r>
      <rPr>
        <sz val="10"/>
        <color theme="1"/>
        <rFont val="Segoe UI"/>
        <family val="2"/>
      </rPr>
      <t xml:space="preserve"> from Ipad sales.</t>
    </r>
  </si>
  <si>
    <t>How many times were 5 or more Airpods sold to WALK IN clients?</t>
  </si>
  <si>
    <t>How many transaction were done between 01/03/2019 and 12/09/2020?</t>
  </si>
  <si>
    <t>Task 1</t>
  </si>
  <si>
    <t>Compute the students' grade</t>
  </si>
  <si>
    <t>Finex School Exams Score</t>
  </si>
  <si>
    <t>Grading Table</t>
  </si>
  <si>
    <t>Student</t>
  </si>
  <si>
    <t>Score</t>
  </si>
  <si>
    <t>Grade</t>
  </si>
  <si>
    <t>Scale</t>
  </si>
  <si>
    <t xml:space="preserve">Grade Students in column D based on the grading table </t>
  </si>
  <si>
    <t>Peter</t>
  </si>
  <si>
    <t>0 - 39</t>
  </si>
  <si>
    <t>F</t>
  </si>
  <si>
    <t>Elorm</t>
  </si>
  <si>
    <t>40 - 49</t>
  </si>
  <si>
    <t>E</t>
  </si>
  <si>
    <t>using the IF function</t>
  </si>
  <si>
    <t>Nartey</t>
  </si>
  <si>
    <t>50 - 59</t>
  </si>
  <si>
    <t>D</t>
  </si>
  <si>
    <t>Tetteyfio</t>
  </si>
  <si>
    <t>60 - 69</t>
  </si>
  <si>
    <t>C</t>
  </si>
  <si>
    <t>Mansa</t>
  </si>
  <si>
    <t>70 - 79</t>
  </si>
  <si>
    <t>B</t>
  </si>
  <si>
    <t>Annan</t>
  </si>
  <si>
    <t>80 - 100</t>
  </si>
  <si>
    <t>A</t>
  </si>
  <si>
    <t>Henry</t>
  </si>
  <si>
    <t>Adjetey</t>
  </si>
  <si>
    <t>Addo</t>
  </si>
  <si>
    <t>Dennis</t>
  </si>
  <si>
    <t>Boamah</t>
  </si>
  <si>
    <t>Sammy</t>
  </si>
  <si>
    <t>Edmond</t>
  </si>
  <si>
    <t>Ababio</t>
  </si>
  <si>
    <t>Adomah</t>
  </si>
  <si>
    <t>Mireku</t>
  </si>
  <si>
    <t>Stephen</t>
  </si>
  <si>
    <t>Hannah</t>
  </si>
  <si>
    <t>Naa</t>
  </si>
  <si>
    <t>Morrison</t>
  </si>
  <si>
    <r>
      <t xml:space="preserve">Using the </t>
    </r>
    <r>
      <rPr>
        <b/>
        <sz val="10"/>
        <color theme="1"/>
        <rFont val="Segoe UI"/>
        <family val="2"/>
      </rPr>
      <t>AppleData</t>
    </r>
    <r>
      <rPr>
        <sz val="10"/>
        <color theme="1"/>
        <rFont val="Segoe UI"/>
        <family val="2"/>
      </rPr>
      <t xml:space="preserve"> complete the following activity</t>
    </r>
  </si>
  <si>
    <t>Task 2</t>
  </si>
  <si>
    <t>As the sales Manager you are to calculate the commissions and bonuses for the sales agents</t>
  </si>
  <si>
    <t>Questions</t>
  </si>
  <si>
    <t>Overall Goals</t>
  </si>
  <si>
    <t>Criteria</t>
  </si>
  <si>
    <t>Amount</t>
  </si>
  <si>
    <t>Account Goal:</t>
  </si>
  <si>
    <t>Commission Rate:</t>
  </si>
  <si>
    <t>Bonus</t>
  </si>
  <si>
    <t>Bonus Goal:</t>
  </si>
  <si>
    <t>Bonus %:</t>
  </si>
  <si>
    <t>Group</t>
  </si>
  <si>
    <t>Group Sales Target:</t>
  </si>
  <si>
    <t>Commission Calculations with Conditions</t>
  </si>
  <si>
    <t>Teams</t>
  </si>
  <si>
    <t>Group Bonus shared</t>
  </si>
  <si>
    <t>Team C</t>
  </si>
  <si>
    <t>Team D</t>
  </si>
  <si>
    <t>Team A</t>
  </si>
  <si>
    <t>Team B</t>
  </si>
  <si>
    <r>
      <t xml:space="preserve">Group members get an extra group bonus if their Group meet the </t>
    </r>
    <r>
      <rPr>
        <b/>
        <sz val="10"/>
        <color theme="1"/>
        <rFont val="Segoe UI"/>
        <family val="2"/>
      </rPr>
      <t>Group Sales Target</t>
    </r>
  </si>
  <si>
    <r>
      <rPr>
        <b/>
        <sz val="10"/>
        <color theme="1"/>
        <rFont val="Segoe UI"/>
        <family val="2"/>
      </rPr>
      <t>Commission</t>
    </r>
    <r>
      <rPr>
        <sz val="10"/>
        <color theme="1"/>
        <rFont val="Segoe UI"/>
        <family val="2"/>
      </rPr>
      <t xml:space="preserve"> is paid if Salesperson exceeds his/her Sales Target or the Account Goal</t>
    </r>
  </si>
  <si>
    <r>
      <rPr>
        <b/>
        <sz val="10"/>
        <color theme="1"/>
        <rFont val="Segoe UI"/>
        <family val="2"/>
      </rPr>
      <t>Bonus</t>
    </r>
    <r>
      <rPr>
        <sz val="10"/>
        <color theme="1"/>
        <rFont val="Segoe UI"/>
        <family val="2"/>
      </rPr>
      <t xml:space="preserve"> is paid if Salesperson exceeds his/her Sales Target and the Bonus Goal</t>
    </r>
  </si>
  <si>
    <t>Sales Target</t>
  </si>
  <si>
    <t>Discount Rate Table</t>
  </si>
  <si>
    <t>Transaction ID</t>
  </si>
  <si>
    <t>Total Cost</t>
  </si>
  <si>
    <t>Discount</t>
  </si>
  <si>
    <t>Adj. Total</t>
  </si>
  <si>
    <t>TID001</t>
  </si>
  <si>
    <t>TID002</t>
  </si>
  <si>
    <t>TID003</t>
  </si>
  <si>
    <t>TID004</t>
  </si>
  <si>
    <t>TID005</t>
  </si>
  <si>
    <t>TID006</t>
  </si>
  <si>
    <t>TID007</t>
  </si>
  <si>
    <t>TID008</t>
  </si>
  <si>
    <t>TID009</t>
  </si>
  <si>
    <t>TID0010</t>
  </si>
  <si>
    <t>TID0011</t>
  </si>
  <si>
    <t>TID0012</t>
  </si>
  <si>
    <t>TID0013</t>
  </si>
  <si>
    <t>TID0014</t>
  </si>
  <si>
    <t>TID0015</t>
  </si>
  <si>
    <t>TID0016</t>
  </si>
  <si>
    <t>TID0017</t>
  </si>
  <si>
    <t>TID0018</t>
  </si>
  <si>
    <t>TID0019</t>
  </si>
  <si>
    <t>TID0020</t>
  </si>
  <si>
    <t>TID0021</t>
  </si>
  <si>
    <t>TID0022</t>
  </si>
  <si>
    <t>TID0023</t>
  </si>
  <si>
    <t>TID0024</t>
  </si>
  <si>
    <t>Customer Invoices: Apple_Data</t>
  </si>
  <si>
    <t>Item</t>
  </si>
  <si>
    <t>calculate the appropriate discount rate for each salesperson</t>
  </si>
  <si>
    <t>Write a formula that takes a given Transaction ID and returns</t>
  </si>
  <si>
    <t>the Date,Salesperson,Customer, Item and Total cost of each transaction</t>
  </si>
  <si>
    <r>
      <t xml:space="preserve">Turn the data into an Excel Table and name it </t>
    </r>
    <r>
      <rPr>
        <b/>
        <sz val="11"/>
        <color theme="1"/>
        <rFont val="Calibri"/>
        <family val="2"/>
        <scheme val="minor"/>
      </rPr>
      <t>AppleData</t>
    </r>
  </si>
  <si>
    <r>
      <t xml:space="preserve">Using the </t>
    </r>
    <r>
      <rPr>
        <b/>
        <sz val="11"/>
        <color theme="1"/>
        <rFont val="Calibri"/>
        <family val="2"/>
        <scheme val="minor"/>
      </rPr>
      <t>discount rate table</t>
    </r>
    <r>
      <rPr>
        <sz val="11"/>
        <color theme="1"/>
        <rFont val="Calibri"/>
        <family val="2"/>
        <scheme val="minor"/>
      </rPr>
      <t>,</t>
    </r>
  </si>
  <si>
    <t>Week 2: Sales Data</t>
  </si>
  <si>
    <t>Week 4: Logic</t>
  </si>
  <si>
    <t>Week 5: Lookup</t>
  </si>
  <si>
    <t>About Us</t>
  </si>
  <si>
    <t>Aggregating Functions</t>
  </si>
  <si>
    <t>Logic Functions</t>
  </si>
  <si>
    <t>Lookup Functions</t>
  </si>
  <si>
    <t>Text Functions</t>
  </si>
  <si>
    <t>Dates &amp; Time Functions</t>
  </si>
  <si>
    <t>Financial Functions</t>
  </si>
  <si>
    <t>Goal Seek, Solver</t>
  </si>
  <si>
    <t>Pivot Table</t>
  </si>
  <si>
    <t>Seperating text across columns - Regular Strings</t>
  </si>
  <si>
    <t>Invoice No.</t>
  </si>
  <si>
    <t>Sales Person</t>
  </si>
  <si>
    <t>Booking No.</t>
  </si>
  <si>
    <t>Client</t>
  </si>
  <si>
    <t>JV/1078/CRE</t>
  </si>
  <si>
    <t>SD/1082/UKP</t>
  </si>
  <si>
    <t>PN/1083/HAV</t>
  </si>
  <si>
    <t>SD/1099/BOD</t>
  </si>
  <si>
    <t>JV/1095/PDD</t>
  </si>
  <si>
    <t>DS/1089/DOB</t>
  </si>
  <si>
    <t>JV/1052/BOD</t>
  </si>
  <si>
    <t>SD/1122/VAL</t>
  </si>
  <si>
    <t>Seperating text across columns - Irregular Strings</t>
  </si>
  <si>
    <t>First Name</t>
  </si>
  <si>
    <t>Last Name</t>
  </si>
  <si>
    <t>Bernard Boateng</t>
  </si>
  <si>
    <t>Osbert Kuwornu</t>
  </si>
  <si>
    <t>Nana Kwame</t>
  </si>
  <si>
    <t>Andrew Tetteh</t>
  </si>
  <si>
    <t>Stephen Ofori</t>
  </si>
  <si>
    <t>Ernest Aboagye</t>
  </si>
  <si>
    <t>Maureen Adoma</t>
  </si>
  <si>
    <t>Mercy Mensah</t>
  </si>
  <si>
    <t>Dennis Ababio</t>
  </si>
  <si>
    <t>Paul Afriyie</t>
  </si>
  <si>
    <t>Marvin Sarfo</t>
  </si>
  <si>
    <t>Bernard</t>
  </si>
  <si>
    <t>Boateng</t>
  </si>
  <si>
    <t>Osbert</t>
  </si>
  <si>
    <t>Kuwornu</t>
  </si>
  <si>
    <t>Nana</t>
  </si>
  <si>
    <t>Dadzie</t>
  </si>
  <si>
    <t>Andrew</t>
  </si>
  <si>
    <t>Tetteh</t>
  </si>
  <si>
    <t>Okai</t>
  </si>
  <si>
    <t>Ernest</t>
  </si>
  <si>
    <t>Aboagye</t>
  </si>
  <si>
    <t>Maureen</t>
  </si>
  <si>
    <t>Mercy</t>
  </si>
  <si>
    <t>Matornawo</t>
  </si>
  <si>
    <t>Paul</t>
  </si>
  <si>
    <t>Quansah</t>
  </si>
  <si>
    <t>Marvin</t>
  </si>
  <si>
    <t>Sarfo</t>
  </si>
  <si>
    <r>
      <t xml:space="preserve">Complete the following Tasks using </t>
    </r>
    <r>
      <rPr>
        <b/>
        <sz val="11"/>
        <color theme="1"/>
        <rFont val="Calibri"/>
        <family val="2"/>
        <scheme val="minor"/>
      </rPr>
      <t>Text Functions</t>
    </r>
  </si>
  <si>
    <t>Join the names into full names</t>
  </si>
  <si>
    <t>Week 6: Text</t>
  </si>
  <si>
    <t>Branch A</t>
  </si>
  <si>
    <t>Branch B</t>
  </si>
  <si>
    <t>6 .</t>
  </si>
  <si>
    <t>7 .</t>
  </si>
  <si>
    <t>Branch C</t>
  </si>
  <si>
    <t>All Branch</t>
  </si>
  <si>
    <t>8 .</t>
  </si>
  <si>
    <t>9 .</t>
  </si>
  <si>
    <t>Data -Logic</t>
  </si>
  <si>
    <t>Data -Lookup</t>
  </si>
  <si>
    <t>10 .</t>
  </si>
  <si>
    <t>11 .</t>
  </si>
  <si>
    <t>Text Functions-Overview</t>
  </si>
  <si>
    <t>Text Functions-Practice</t>
  </si>
  <si>
    <t>12 .</t>
  </si>
  <si>
    <t>Goal Seek</t>
  </si>
  <si>
    <t>Solver</t>
  </si>
  <si>
    <t>13 .</t>
  </si>
  <si>
    <t>14 .</t>
  </si>
  <si>
    <t>15 .</t>
  </si>
  <si>
    <t>16 .</t>
  </si>
  <si>
    <t>Scenario Manager</t>
  </si>
  <si>
    <t>Data Tables</t>
  </si>
  <si>
    <t>17 .</t>
  </si>
  <si>
    <t>DATA</t>
  </si>
  <si>
    <t>What are Relative, Absolute and Mixed referencing?</t>
  </si>
  <si>
    <t>SUM,AVERAGE</t>
  </si>
  <si>
    <t>Nested IF statements</t>
  </si>
  <si>
    <t>Looking up information with VLOOKUP,</t>
  </si>
  <si>
    <t>Looking up information with INDEX &amp; MATCH</t>
  </si>
  <si>
    <t>Using the utility text functions: REPT,</t>
  </si>
  <si>
    <t>Using ampersands,CONCATENATE</t>
  </si>
  <si>
    <t>Extracting data with the FIND, SEARCH functions</t>
  </si>
  <si>
    <t>Use Goal Seek to find the result you want by adjusting an input value</t>
  </si>
  <si>
    <t>Use Solver to find the result you want by adjusting one or more input values with or without constraints</t>
  </si>
  <si>
    <t>Use Scenario to create various situations you want by adjusting one or more input values</t>
  </si>
  <si>
    <t>Use Data Table to display the results of multiple inputs at the same time</t>
  </si>
  <si>
    <t>What-If-Analysis</t>
  </si>
  <si>
    <t>What is a PivotTable?</t>
  </si>
  <si>
    <t>How can I use a PivotTable to summarize my data?</t>
  </si>
  <si>
    <t>What PivotTable layouts are available in Excel?</t>
  </si>
  <si>
    <t>How can I easily change the format in a PivotTable?</t>
  </si>
  <si>
    <t>How do I sort and filter PivotTable fields?</t>
  </si>
  <si>
    <t>How do PivotTable slicers work?</t>
  </si>
  <si>
    <t>How do I add hide subtotals in a PivotTable?</t>
  </si>
  <si>
    <t>How can I update my calculations when I add new data?</t>
  </si>
  <si>
    <t>What is a calculated field and calculated item?</t>
  </si>
  <si>
    <t>Topic 1: Overview of Microsoft Excel and useful shortcuts</t>
  </si>
  <si>
    <t>Topic 2: Working with Cells, Ranges and Tables</t>
  </si>
  <si>
    <t>Topic 3: Aggregating Functions</t>
  </si>
  <si>
    <t>Topic 5: Text Functions</t>
  </si>
  <si>
    <t>Topic 4: Lookup Functions</t>
  </si>
  <si>
    <t>Lookup with Pictures in Excel</t>
  </si>
  <si>
    <t>2-way lookup using XLOOKUP and INDEX and MATCH</t>
  </si>
  <si>
    <t>Sum Values by Month with Formulas and Pivot Tables</t>
  </si>
  <si>
    <t>Simulate Calculations using Goal Seek and Data Tables</t>
  </si>
  <si>
    <t>Build interactive charts with Form Controls</t>
  </si>
  <si>
    <t>Highlight the Maximum Value in a Dynamic Chart</t>
  </si>
  <si>
    <t>Total</t>
  </si>
  <si>
    <t>Group A</t>
  </si>
  <si>
    <t>Group B</t>
  </si>
  <si>
    <t>Group C</t>
  </si>
  <si>
    <t>Group D</t>
  </si>
  <si>
    <t>Sum of Fees</t>
  </si>
  <si>
    <t>Row Labels</t>
  </si>
  <si>
    <t>Grand Total</t>
  </si>
  <si>
    <t>(All)</t>
  </si>
  <si>
    <t>Countries</t>
  </si>
  <si>
    <t>Bubble size</t>
  </si>
  <si>
    <t>X</t>
  </si>
  <si>
    <t>Y</t>
  </si>
  <si>
    <t xml:space="preserve">            Port Analysis</t>
  </si>
  <si>
    <t xml:space="preserve">Top Managers </t>
  </si>
  <si>
    <t>=MID(C20,4,4)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</si>
</sst>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_);_(* \(#,##0\);_(* &quot;-&quot;??_);_(@_)"/>
    <numFmt numFmtId="166" formatCode="_(&quot;$&quot;* #,##0_);_(&quot;$&quot;* \(#,##0\);_(&quot;$&quot;* &quot;-&quot;??_);_(@_)"/>
    <numFmt numFmtId="167" formatCode="#,##0.0"/>
    <numFmt numFmtId="168" formatCode="dd\-mmm\-yyyy"/>
    <numFmt numFmtId="169" formatCode=";;;"/>
    <numFmt numFmtId="170" formatCode="[$GHS]\ #,##0.00_);\([$GHS]\ #,##0.00\)"/>
    <numFmt numFmtId="171" formatCode="[$-409]d\-mmm\-yyyy;@"/>
  </numFmts>
  <fonts count="114" x14ac:knownFonts="1">
    <font>
      <sz val="11"/>
      <color theme="1"/>
      <name val="Calibri"/>
      <family val="2"/>
      <scheme val="minor"/>
    </font>
    <font>
      <sz val="9"/>
      <color theme="1"/>
      <name val="Segoe UI"/>
      <family val="2"/>
    </font>
    <font>
      <sz val="9"/>
      <color theme="1"/>
      <name val="Segoe UI"/>
      <family val="2"/>
    </font>
    <font>
      <sz val="9"/>
      <color theme="1"/>
      <name val="Segoe UI"/>
      <family val="2"/>
    </font>
    <font>
      <sz val="9"/>
      <color theme="1"/>
      <name val="Segoe UI"/>
      <family val="2"/>
    </font>
    <font>
      <sz val="9"/>
      <color theme="0"/>
      <name val="Segoe UI"/>
      <family val="2"/>
    </font>
    <font>
      <sz val="18"/>
      <color rgb="FF193E64"/>
      <name val="Segoe UI"/>
      <family val="2"/>
    </font>
    <font>
      <b/>
      <sz val="11"/>
      <color theme="0"/>
      <name val="Segoe UI"/>
      <family val="2"/>
    </font>
    <font>
      <sz val="11"/>
      <color theme="1"/>
      <name val="Calibri"/>
      <family val="2"/>
      <scheme val="minor"/>
    </font>
    <font>
      <b/>
      <sz val="9"/>
      <color rgb="FFFF0000"/>
      <name val="Segoe UI"/>
      <family val="2"/>
    </font>
    <font>
      <sz val="10"/>
      <name val="Arial"/>
      <family val="2"/>
    </font>
    <font>
      <sz val="11"/>
      <color theme="1"/>
      <name val="Calibri"/>
      <family val="2"/>
    </font>
    <font>
      <sz val="12"/>
      <color theme="1"/>
      <name val="Calibri"/>
      <family val="2"/>
      <scheme val="minor"/>
    </font>
    <font>
      <sz val="11"/>
      <color theme="0"/>
      <name val="Calibri"/>
      <family val="2"/>
    </font>
    <font>
      <b/>
      <sz val="11"/>
      <color theme="0"/>
      <name val="Calibri"/>
      <family val="2"/>
    </font>
    <font>
      <sz val="8"/>
      <name val="Calibri"/>
      <family val="2"/>
      <scheme val="minor"/>
    </font>
    <font>
      <u/>
      <sz val="9"/>
      <color theme="10"/>
      <name val="Segoe UI"/>
      <family val="2"/>
    </font>
    <font>
      <sz val="12"/>
      <color theme="1"/>
      <name val="Segoe UI"/>
      <family val="2"/>
    </font>
    <font>
      <sz val="12"/>
      <color theme="0"/>
      <name val="Segoe UI"/>
      <family val="2"/>
    </font>
    <font>
      <b/>
      <sz val="12"/>
      <color theme="0"/>
      <name val="Segoe UI"/>
      <family val="2"/>
    </font>
    <font>
      <b/>
      <sz val="9"/>
      <color theme="7" tint="0.39997558519241921"/>
      <name val="Segoe UI"/>
      <family val="2"/>
    </font>
    <font>
      <b/>
      <sz val="9"/>
      <color theme="7" tint="0.39994506668294322"/>
      <name val="Segoe UI"/>
      <family val="2"/>
    </font>
    <font>
      <i/>
      <sz val="9"/>
      <color theme="0"/>
      <name val="Segoe UI"/>
      <family val="2"/>
    </font>
    <font>
      <sz val="9"/>
      <name val="Segoe UI"/>
      <family val="2"/>
    </font>
    <font>
      <b/>
      <sz val="10"/>
      <color theme="1"/>
      <name val="Segoe UI"/>
      <family val="2"/>
    </font>
    <font>
      <sz val="10"/>
      <color theme="1"/>
      <name val="Segoe UI"/>
      <family val="2"/>
    </font>
    <font>
      <u/>
      <sz val="11"/>
      <color theme="10"/>
      <name val="Calibri"/>
      <family val="2"/>
      <scheme val="minor"/>
    </font>
    <font>
      <sz val="10"/>
      <name val="Segoe UI"/>
      <family val="2"/>
    </font>
    <font>
      <b/>
      <sz val="9"/>
      <name val="Segoe UI"/>
      <family val="2"/>
    </font>
    <font>
      <b/>
      <sz val="10"/>
      <color rgb="FFFF0000"/>
      <name val="Segoe UI"/>
      <family val="2"/>
    </font>
    <font>
      <b/>
      <sz val="10"/>
      <color theme="0"/>
      <name val="Segoe UI"/>
      <family val="2"/>
    </font>
    <font>
      <sz val="9"/>
      <color indexed="81"/>
      <name val="Tahoma"/>
      <family val="2"/>
    </font>
    <font>
      <b/>
      <sz val="9"/>
      <color indexed="81"/>
      <name val="Tahoma"/>
      <family val="2"/>
    </font>
    <font>
      <b/>
      <sz val="10"/>
      <name val="Segoe UI"/>
      <family val="2"/>
    </font>
    <font>
      <b/>
      <sz val="10"/>
      <color rgb="FF404040"/>
      <name val="Segoe UI"/>
      <family val="2"/>
    </font>
    <font>
      <b/>
      <sz val="10"/>
      <color rgb="FF000000"/>
      <name val="Segoe UI"/>
      <family val="2"/>
    </font>
    <font>
      <i/>
      <sz val="9"/>
      <color indexed="81"/>
      <name val="Tahoma"/>
      <family val="2"/>
    </font>
    <font>
      <i/>
      <sz val="10"/>
      <name val="Arial"/>
      <family val="2"/>
    </font>
    <font>
      <b/>
      <sz val="10"/>
      <name val="Arial"/>
      <family val="2"/>
    </font>
    <font>
      <b/>
      <sz val="10"/>
      <color indexed="12"/>
      <name val="Segoe UI"/>
      <family val="2"/>
    </font>
    <font>
      <b/>
      <sz val="10"/>
      <color rgb="FF0000FF"/>
      <name val="Segoe UI"/>
      <family val="2"/>
    </font>
    <font>
      <b/>
      <sz val="10"/>
      <color indexed="17"/>
      <name val="Segoe UI"/>
      <family val="2"/>
    </font>
    <font>
      <i/>
      <sz val="9"/>
      <color theme="1"/>
      <name val="Segoe UI"/>
      <family val="2"/>
    </font>
    <font>
      <sz val="11"/>
      <name val="Calibri"/>
      <family val="2"/>
      <scheme val="minor"/>
    </font>
    <font>
      <b/>
      <i/>
      <sz val="10"/>
      <color theme="1"/>
      <name val="Segoe UI"/>
      <family val="2"/>
    </font>
    <font>
      <b/>
      <i/>
      <sz val="10"/>
      <color theme="0"/>
      <name val="Segoe UI"/>
      <family val="2"/>
    </font>
    <font>
      <b/>
      <i/>
      <sz val="10"/>
      <color rgb="FFF4CF30"/>
      <name val="Segoe UI"/>
      <family val="2"/>
    </font>
    <font>
      <b/>
      <i/>
      <sz val="10"/>
      <color rgb="FFF55D4D"/>
      <name val="Segoe UI"/>
      <family val="2"/>
    </font>
    <font>
      <b/>
      <i/>
      <sz val="10"/>
      <color rgb="FF4BBD69"/>
      <name val="Segoe UI"/>
      <family val="2"/>
    </font>
    <font>
      <b/>
      <i/>
      <sz val="9"/>
      <color rgb="FFFFC000"/>
      <name val="Segoe UI"/>
      <family val="2"/>
    </font>
    <font>
      <b/>
      <i/>
      <sz val="9"/>
      <color rgb="FFFF2929"/>
      <name val="Segoe UI"/>
      <family val="2"/>
    </font>
    <font>
      <b/>
      <i/>
      <sz val="9"/>
      <color rgb="FF00B050"/>
      <name val="Segoe UI"/>
      <family val="2"/>
    </font>
    <font>
      <b/>
      <sz val="14"/>
      <color theme="0"/>
      <name val="Segoe UI"/>
      <family val="2"/>
    </font>
    <font>
      <b/>
      <sz val="18"/>
      <color rgb="FF193E64"/>
      <name val="Segoe UI"/>
      <family val="2"/>
    </font>
    <font>
      <b/>
      <sz val="9"/>
      <color rgb="FF193E64"/>
      <name val="Segoe UI"/>
      <family val="2"/>
    </font>
    <font>
      <b/>
      <sz val="10"/>
      <color rgb="FFE63200"/>
      <name val="Segoe UI"/>
      <family val="2"/>
    </font>
    <font>
      <sz val="10"/>
      <color rgb="FF000000"/>
      <name val="Segoe UI"/>
      <family val="2"/>
    </font>
    <font>
      <b/>
      <sz val="10"/>
      <color theme="4" tint="-0.499984740745262"/>
      <name val="Segoe UI"/>
      <family val="2"/>
    </font>
    <font>
      <sz val="10"/>
      <color theme="4" tint="-0.499984740745262"/>
      <name val="Segoe UI"/>
      <family val="2"/>
    </font>
    <font>
      <sz val="10"/>
      <color theme="0"/>
      <name val="Segoe UI"/>
      <family val="2"/>
    </font>
    <font>
      <sz val="10"/>
      <color rgb="FFFF0000"/>
      <name val="Segoe UI"/>
      <family val="2"/>
    </font>
    <font>
      <sz val="10"/>
      <color rgb="FF0000FF"/>
      <name val="Segoe UI"/>
      <family val="2"/>
    </font>
    <font>
      <i/>
      <sz val="10"/>
      <color rgb="FF000000"/>
      <name val="Segoe UI"/>
      <family val="2"/>
    </font>
    <font>
      <b/>
      <sz val="10"/>
      <color theme="8" tint="-0.499984740745262"/>
      <name val="Segoe UI"/>
      <family val="2"/>
    </font>
    <font>
      <b/>
      <sz val="10"/>
      <color rgb="FF006600"/>
      <name val="Segoe UI"/>
      <family val="2"/>
    </font>
    <font>
      <b/>
      <sz val="10"/>
      <color rgb="FFFF4646"/>
      <name val="Segoe UI"/>
      <family val="2"/>
    </font>
    <font>
      <i/>
      <sz val="10"/>
      <color theme="1"/>
      <name val="Segoe UI"/>
      <family val="2"/>
    </font>
    <font>
      <b/>
      <sz val="10"/>
      <color rgb="FFFF625C"/>
      <name val="Segoe UI"/>
      <family val="2"/>
    </font>
    <font>
      <u/>
      <sz val="10"/>
      <color theme="10"/>
      <name val="Segoe UI"/>
      <family val="2"/>
    </font>
    <font>
      <i/>
      <sz val="10"/>
      <color theme="0"/>
      <name val="Segoe UI"/>
      <family val="2"/>
    </font>
    <font>
      <b/>
      <i/>
      <sz val="10"/>
      <color rgb="FFC00000"/>
      <name val="Segoe UI"/>
      <family val="2"/>
    </font>
    <font>
      <b/>
      <sz val="10"/>
      <color rgb="FFC00000"/>
      <name val="Segoe UI"/>
      <family val="2"/>
    </font>
    <font>
      <b/>
      <sz val="11"/>
      <color theme="0"/>
      <name val="Calibri"/>
      <family val="2"/>
      <scheme val="minor"/>
    </font>
    <font>
      <b/>
      <sz val="9"/>
      <color theme="0"/>
      <name val="Segoe UI"/>
      <family val="2"/>
    </font>
    <font>
      <b/>
      <sz val="9"/>
      <color theme="1"/>
      <name val="Segoe UI"/>
      <family val="2"/>
    </font>
    <font>
      <b/>
      <i/>
      <sz val="9"/>
      <color theme="1"/>
      <name val="Segoe UI"/>
      <family val="2"/>
    </font>
    <font>
      <b/>
      <sz val="12"/>
      <color theme="1"/>
      <name val="Segoe UI"/>
      <family val="2"/>
    </font>
    <font>
      <b/>
      <i/>
      <sz val="11"/>
      <color theme="0"/>
      <name val="Calibri"/>
      <family val="2"/>
      <scheme val="minor"/>
    </font>
    <font>
      <b/>
      <sz val="12"/>
      <color theme="0"/>
      <name val="Calibri"/>
      <family val="2"/>
      <scheme val="minor"/>
    </font>
    <font>
      <sz val="10"/>
      <color rgb="FF404040"/>
      <name val="Segoe UI"/>
      <family val="2"/>
    </font>
    <font>
      <sz val="11"/>
      <color rgb="FFFB5A56"/>
      <name val="Calibri"/>
      <family val="2"/>
      <scheme val="minor"/>
    </font>
    <font>
      <sz val="16"/>
      <color rgb="FF3B3838"/>
      <name val="Segoe UI Light"/>
      <family val="2"/>
    </font>
    <font>
      <sz val="10"/>
      <color rgb="FF0070C0"/>
      <name val="Segoe UI"/>
      <family val="2"/>
    </font>
    <font>
      <b/>
      <sz val="11"/>
      <name val="Segoe UI"/>
      <family val="2"/>
    </font>
    <font>
      <b/>
      <i/>
      <sz val="9"/>
      <color rgb="FFE63200"/>
      <name val="Segoe UI"/>
      <family val="2"/>
    </font>
    <font>
      <i/>
      <sz val="9"/>
      <name val="Segoe UI"/>
      <family val="2"/>
    </font>
    <font>
      <b/>
      <i/>
      <sz val="9"/>
      <name val="Segoe UI"/>
      <family val="2"/>
    </font>
    <font>
      <sz val="9"/>
      <color rgb="FFFF0000"/>
      <name val="Segoe UI"/>
      <family val="2"/>
    </font>
    <font>
      <i/>
      <sz val="9"/>
      <color rgb="FFFF4646"/>
      <name val="Segoe UI"/>
      <family val="2"/>
    </font>
    <font>
      <b/>
      <sz val="8"/>
      <color theme="0"/>
      <name val="Segoe UI"/>
      <family val="2"/>
    </font>
    <font>
      <sz val="9"/>
      <color rgb="FFC00000"/>
      <name val="Segoe UI"/>
      <family val="2"/>
    </font>
    <font>
      <b/>
      <sz val="11"/>
      <color theme="1"/>
      <name val="Segoe UI"/>
      <family val="2"/>
    </font>
    <font>
      <b/>
      <sz val="10.5"/>
      <color theme="1"/>
      <name val="Segoe UI"/>
      <family val="2"/>
    </font>
    <font>
      <sz val="11"/>
      <color theme="1"/>
      <name val="Segoe UI"/>
      <family val="2"/>
    </font>
    <font>
      <sz val="11"/>
      <color rgb="FF0000FF"/>
      <name val="Segoe UI"/>
      <family val="2"/>
    </font>
    <font>
      <b/>
      <sz val="11"/>
      <color indexed="8"/>
      <name val="Segoe UI"/>
      <family val="2"/>
    </font>
    <font>
      <sz val="11"/>
      <color rgb="FFFF0000"/>
      <name val="Segoe UI"/>
      <family val="2"/>
    </font>
    <font>
      <sz val="14"/>
      <color theme="0"/>
      <name val="Segoe UI"/>
      <family val="2"/>
    </font>
    <font>
      <b/>
      <sz val="11"/>
      <color theme="1"/>
      <name val="Calibri"/>
      <family val="2"/>
      <scheme val="minor"/>
    </font>
    <font>
      <u/>
      <sz val="9"/>
      <color theme="1"/>
      <name val="Segoe UI"/>
      <family val="2"/>
    </font>
    <font>
      <sz val="12"/>
      <color rgb="FF0000FF"/>
      <name val="Segoe UI"/>
      <family val="2"/>
    </font>
    <font>
      <i/>
      <sz val="9"/>
      <color rgb="FFFF0000"/>
      <name val="Segoe UI"/>
      <family val="2"/>
    </font>
    <font>
      <sz val="9"/>
      <color rgb="FF363636"/>
      <name val="Segoe UI"/>
      <family val="2"/>
    </font>
    <font>
      <b/>
      <sz val="9"/>
      <color rgb="FF363636"/>
      <name val="Segoe UI"/>
      <family val="2"/>
    </font>
    <font>
      <i/>
      <sz val="9"/>
      <color rgb="FF363636"/>
      <name val="Segoe UI"/>
      <family val="2"/>
    </font>
    <font>
      <b/>
      <u/>
      <sz val="9"/>
      <color theme="10"/>
      <name val="Segoe UI"/>
      <family val="2"/>
    </font>
    <font>
      <sz val="10"/>
      <color theme="1"/>
      <name val="Calibri"/>
      <family val="2"/>
      <scheme val="minor"/>
    </font>
    <font>
      <sz val="11"/>
      <color rgb="FF3F3F76"/>
      <name val="Calibri"/>
      <family val="2"/>
      <scheme val="minor"/>
    </font>
    <font>
      <b/>
      <sz val="11"/>
      <color rgb="FFFA7D00"/>
      <name val="Calibri"/>
      <family val="2"/>
      <scheme val="minor"/>
    </font>
    <font>
      <sz val="11"/>
      <color theme="0"/>
      <name val="Calibri"/>
      <family val="2"/>
      <scheme val="minor"/>
    </font>
    <font>
      <b/>
      <sz val="9"/>
      <color rgb="FFFF625C"/>
      <name val="Segoe UI"/>
      <family val="2"/>
    </font>
    <font>
      <sz val="8"/>
      <color theme="0"/>
      <name val="Segoe UI"/>
      <family val="2"/>
    </font>
    <font>
      <sz val="8"/>
      <name val="Segoe UI"/>
      <family val="2"/>
    </font>
    <font>
      <b/>
      <i/>
      <sz val="11"/>
      <color rgb="FFFA7D00"/>
      <name val="Calibri"/>
      <family val="2"/>
      <scheme val="minor"/>
    </font>
  </fonts>
  <fills count="31">
    <fill>
      <patternFill patternType="none"/>
    </fill>
    <fill>
      <patternFill patternType="gray125"/>
    </fill>
    <fill>
      <patternFill patternType="solid">
        <fgColor theme="0" tint="-4.9989318521683403E-2"/>
        <bgColor indexed="64"/>
      </patternFill>
    </fill>
    <fill>
      <patternFill patternType="solid">
        <fgColor rgb="FF193E64"/>
        <bgColor indexed="64"/>
      </patternFill>
    </fill>
    <fill>
      <patternFill patternType="solid">
        <fgColor rgb="FFA5A5A5"/>
      </patternFill>
    </fill>
    <fill>
      <patternFill patternType="solid">
        <fgColor theme="4" tint="0.59999389629810485"/>
        <bgColor indexed="65"/>
      </patternFill>
    </fill>
    <fill>
      <patternFill patternType="solid">
        <fgColor theme="7"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8"/>
        <bgColor indexed="64"/>
      </patternFill>
    </fill>
    <fill>
      <patternFill patternType="solid">
        <fgColor theme="2"/>
        <bgColor indexed="64"/>
      </patternFill>
    </fill>
    <fill>
      <patternFill patternType="solid">
        <fgColor rgb="FF193E64"/>
        <bgColor rgb="FF000000"/>
      </patternFill>
    </fill>
    <fill>
      <patternFill patternType="solid">
        <fgColor theme="0" tint="-0.14999847407452621"/>
        <bgColor indexed="64"/>
      </patternFill>
    </fill>
    <fill>
      <patternFill patternType="solid">
        <fgColor theme="0" tint="-0.249977111117893"/>
        <bgColor indexed="64"/>
      </patternFill>
    </fill>
    <fill>
      <patternFill patternType="solid">
        <fgColor theme="7"/>
        <bgColor indexed="64"/>
      </patternFill>
    </fill>
    <fill>
      <patternFill patternType="solid">
        <fgColor rgb="FF002645"/>
        <bgColor indexed="64"/>
      </patternFill>
    </fill>
    <fill>
      <patternFill patternType="solid">
        <fgColor rgb="FFC9C9C9"/>
        <bgColor indexed="64"/>
      </patternFill>
    </fill>
    <fill>
      <patternFill patternType="solid">
        <fgColor theme="3" tint="0.79998168889431442"/>
        <bgColor indexed="64"/>
      </patternFill>
    </fill>
    <fill>
      <patternFill patternType="solid">
        <fgColor theme="0" tint="-0.14999847407452621"/>
        <bgColor theme="0" tint="-0.14999847407452621"/>
      </patternFill>
    </fill>
    <fill>
      <patternFill patternType="solid">
        <fgColor rgb="FFFFCC99"/>
      </patternFill>
    </fill>
    <fill>
      <patternFill patternType="solid">
        <fgColor rgb="FFF2F2F2"/>
      </patternFill>
    </fill>
    <fill>
      <patternFill patternType="solid">
        <fgColor rgb="FF193E64"/>
        <bgColor theme="9"/>
      </patternFill>
    </fill>
    <fill>
      <patternFill patternType="solid">
        <fgColor rgb="FF222222"/>
        <bgColor indexed="64"/>
      </patternFill>
    </fill>
  </fills>
  <borders count="147">
    <border>
      <left/>
      <right/>
      <top/>
      <bottom/>
      <diagonal/>
    </border>
    <border>
      <left/>
      <right/>
      <top/>
      <bottom style="thin">
        <color theme="0"/>
      </bottom>
      <diagonal/>
    </border>
    <border>
      <left style="double">
        <color rgb="FF3F3F3F"/>
      </left>
      <right style="double">
        <color rgb="FF3F3F3F"/>
      </right>
      <top style="double">
        <color rgb="FF3F3F3F"/>
      </top>
      <bottom style="double">
        <color rgb="FF3F3F3F"/>
      </bottom>
      <diagonal/>
    </border>
    <border>
      <left/>
      <right/>
      <top/>
      <bottom style="thin">
        <color theme="0" tint="-0.34998626667073579"/>
      </bottom>
      <diagonal/>
    </border>
    <border>
      <left/>
      <right/>
      <top style="thin">
        <color theme="0" tint="-0.34998626667073579"/>
      </top>
      <bottom style="thin">
        <color theme="0" tint="-0.34998626667073579"/>
      </bottom>
      <diagonal/>
    </border>
    <border>
      <left style="hair">
        <color theme="9" tint="-0.249977111117893"/>
      </left>
      <right style="hair">
        <color theme="9" tint="-0.249977111117893"/>
      </right>
      <top style="hair">
        <color theme="9" tint="-0.249977111117893"/>
      </top>
      <bottom style="hair">
        <color theme="9" tint="-0.249977111117893"/>
      </bottom>
      <diagonal/>
    </border>
    <border>
      <left style="thin">
        <color theme="0" tint="-0.14996795556505021"/>
      </left>
      <right/>
      <top/>
      <bottom style="thin">
        <color theme="0" tint="-0.14996795556505021"/>
      </bottom>
      <diagonal/>
    </border>
    <border>
      <left/>
      <right/>
      <top/>
      <bottom style="thin">
        <color theme="0" tint="-0.149998474074526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rgb="FF002645"/>
      </left>
      <right style="thin">
        <color rgb="FF002645"/>
      </right>
      <top style="thin">
        <color rgb="FF002645"/>
      </top>
      <bottom style="thin">
        <color rgb="FF002645"/>
      </bottom>
      <diagonal/>
    </border>
    <border>
      <left style="dotted">
        <color rgb="FF002060"/>
      </left>
      <right/>
      <top style="dotted">
        <color rgb="FF002060"/>
      </top>
      <bottom/>
      <diagonal/>
    </border>
    <border>
      <left/>
      <right/>
      <top style="dotted">
        <color rgb="FF002060"/>
      </top>
      <bottom/>
      <diagonal/>
    </border>
    <border>
      <left/>
      <right style="dotted">
        <color rgb="FF002060"/>
      </right>
      <top style="dotted">
        <color rgb="FF002060"/>
      </top>
      <bottom/>
      <diagonal/>
    </border>
    <border>
      <left style="dotted">
        <color rgb="FF002060"/>
      </left>
      <right/>
      <top/>
      <bottom/>
      <diagonal/>
    </border>
    <border>
      <left/>
      <right style="dotted">
        <color rgb="FF002060"/>
      </right>
      <top/>
      <bottom/>
      <diagonal/>
    </border>
    <border>
      <left style="dotted">
        <color rgb="FF002060"/>
      </left>
      <right/>
      <top/>
      <bottom style="dotted">
        <color rgb="FF002060"/>
      </bottom>
      <diagonal/>
    </border>
    <border>
      <left/>
      <right/>
      <top/>
      <bottom style="dotted">
        <color rgb="FF002060"/>
      </bottom>
      <diagonal/>
    </border>
    <border>
      <left/>
      <right style="dotted">
        <color rgb="FF002060"/>
      </right>
      <top/>
      <bottom style="dotted">
        <color rgb="FF002060"/>
      </bottom>
      <diagonal/>
    </border>
    <border>
      <left style="dotted">
        <color rgb="FF002645"/>
      </left>
      <right/>
      <top style="dotted">
        <color rgb="FF002645"/>
      </top>
      <bottom/>
      <diagonal/>
    </border>
    <border>
      <left/>
      <right/>
      <top style="dotted">
        <color rgb="FF002645"/>
      </top>
      <bottom/>
      <diagonal/>
    </border>
    <border>
      <left/>
      <right style="dotted">
        <color rgb="FF002645"/>
      </right>
      <top style="dotted">
        <color rgb="FF002645"/>
      </top>
      <bottom/>
      <diagonal/>
    </border>
    <border>
      <left style="dotted">
        <color rgb="FF002645"/>
      </left>
      <right/>
      <top/>
      <bottom/>
      <diagonal/>
    </border>
    <border>
      <left/>
      <right style="dotted">
        <color rgb="FF002645"/>
      </right>
      <top/>
      <bottom/>
      <diagonal/>
    </border>
    <border>
      <left/>
      <right style="dotted">
        <color rgb="FF002645"/>
      </right>
      <top/>
      <bottom style="thin">
        <color rgb="FF002645"/>
      </bottom>
      <diagonal/>
    </border>
    <border>
      <left style="thin">
        <color rgb="FF002645"/>
      </left>
      <right style="thin">
        <color rgb="FF002645"/>
      </right>
      <top style="thin">
        <color rgb="FF002645"/>
      </top>
      <bottom style="hair">
        <color rgb="FF002645"/>
      </bottom>
      <diagonal/>
    </border>
    <border>
      <left style="thin">
        <color rgb="FF002645"/>
      </left>
      <right style="hair">
        <color rgb="FF002645"/>
      </right>
      <top style="hair">
        <color rgb="FF002645"/>
      </top>
      <bottom style="hair">
        <color rgb="FF002645"/>
      </bottom>
      <diagonal/>
    </border>
    <border>
      <left style="hair">
        <color rgb="FF002645"/>
      </left>
      <right style="hair">
        <color rgb="FF002645"/>
      </right>
      <top style="hair">
        <color rgb="FF002645"/>
      </top>
      <bottom style="hair">
        <color rgb="FF002645"/>
      </bottom>
      <diagonal/>
    </border>
    <border>
      <left style="hair">
        <color rgb="FF002645"/>
      </left>
      <right style="thin">
        <color rgb="FF002645"/>
      </right>
      <top style="hair">
        <color rgb="FF002645"/>
      </top>
      <bottom style="hair">
        <color rgb="FF002645"/>
      </bottom>
      <diagonal/>
    </border>
    <border>
      <left style="dotted">
        <color rgb="FF002645"/>
      </left>
      <right/>
      <top/>
      <bottom style="dotted">
        <color rgb="FF002645"/>
      </bottom>
      <diagonal/>
    </border>
    <border>
      <left/>
      <right/>
      <top/>
      <bottom style="dotted">
        <color rgb="FF002645"/>
      </bottom>
      <diagonal/>
    </border>
    <border>
      <left/>
      <right style="dotted">
        <color rgb="FF002645"/>
      </right>
      <top/>
      <bottom style="dotted">
        <color rgb="FF002645"/>
      </bottom>
      <diagonal/>
    </border>
    <border>
      <left style="thin">
        <color rgb="FF002645"/>
      </left>
      <right style="hair">
        <color rgb="FF002645"/>
      </right>
      <top style="hair">
        <color rgb="FF002645"/>
      </top>
      <bottom style="thin">
        <color rgb="FF002645"/>
      </bottom>
      <diagonal/>
    </border>
    <border>
      <left style="hair">
        <color rgb="FF002645"/>
      </left>
      <right style="hair">
        <color rgb="FF002645"/>
      </right>
      <top style="hair">
        <color rgb="FF002645"/>
      </top>
      <bottom style="thin">
        <color rgb="FF002645"/>
      </bottom>
      <diagonal/>
    </border>
    <border>
      <left style="thin">
        <color indexed="64"/>
      </left>
      <right/>
      <top/>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top/>
      <bottom style="thin">
        <color rgb="FFD9D9D9"/>
      </bottom>
      <diagonal/>
    </border>
    <border>
      <left style="thin">
        <color indexed="64"/>
      </left>
      <right style="thin">
        <color indexed="64"/>
      </right>
      <top style="thin">
        <color indexed="64"/>
      </top>
      <bottom/>
      <diagonal/>
    </border>
    <border>
      <left/>
      <right/>
      <top style="thin">
        <color rgb="FFD9D9D9"/>
      </top>
      <bottom/>
      <diagonal/>
    </border>
    <border>
      <left/>
      <right style="thin">
        <color rgb="FFD9D9D9"/>
      </right>
      <top style="thin">
        <color rgb="FFD9D9D9"/>
      </top>
      <bottom/>
      <diagonal/>
    </border>
    <border>
      <left style="thin">
        <color rgb="FFD9D9D9"/>
      </left>
      <right/>
      <top/>
      <bottom/>
      <diagonal/>
    </border>
    <border>
      <left/>
      <right style="thin">
        <color rgb="FFD9D9D9"/>
      </right>
      <top/>
      <bottom/>
      <diagonal/>
    </border>
    <border>
      <left style="thin">
        <color rgb="FFD9D9D9"/>
      </left>
      <right/>
      <top/>
      <bottom style="thin">
        <color rgb="FFD9D9D9"/>
      </bottom>
      <diagonal/>
    </border>
    <border>
      <left/>
      <right style="thin">
        <color rgb="FFD9D9D9"/>
      </right>
      <top/>
      <bottom style="thin">
        <color rgb="FFD9D9D9"/>
      </bottom>
      <diagonal/>
    </border>
    <border>
      <left style="dotted">
        <color rgb="FF0996C8"/>
      </left>
      <right style="dotted">
        <color rgb="FF0996C8"/>
      </right>
      <top style="dotted">
        <color rgb="FF0996C8"/>
      </top>
      <bottom style="dotted">
        <color rgb="FF0996C8"/>
      </bottom>
      <diagonal/>
    </border>
    <border>
      <left style="thin">
        <color rgb="FFC9C9C9"/>
      </left>
      <right/>
      <top style="thin">
        <color rgb="FFC9C9C9"/>
      </top>
      <bottom/>
      <diagonal/>
    </border>
    <border>
      <left style="thin">
        <color rgb="FFC9C9C9"/>
      </left>
      <right style="thin">
        <color rgb="FFC9C9C9"/>
      </right>
      <top style="thin">
        <color rgb="FFC9C9C9"/>
      </top>
      <bottom/>
      <diagonal/>
    </border>
    <border>
      <left style="thin">
        <color rgb="FFC9C9C9"/>
      </left>
      <right/>
      <top style="thin">
        <color rgb="FFC9C9C9"/>
      </top>
      <bottom style="thin">
        <color rgb="FFC9C9C9"/>
      </bottom>
      <diagonal/>
    </border>
    <border>
      <left style="thin">
        <color rgb="FFC9C9C9"/>
      </left>
      <right style="thin">
        <color rgb="FFC9C9C9"/>
      </right>
      <top style="thin">
        <color rgb="FFC9C9C9"/>
      </top>
      <bottom style="thin">
        <color rgb="FFC9C9C9"/>
      </bottom>
      <diagonal/>
    </border>
    <border>
      <left style="thin">
        <color rgb="FFC9C9C9"/>
      </left>
      <right/>
      <top/>
      <bottom/>
      <diagonal/>
    </border>
    <border>
      <left style="thin">
        <color rgb="FFC9C9C9"/>
      </left>
      <right/>
      <top/>
      <bottom style="thin">
        <color rgb="FFC9C9C9"/>
      </bottom>
      <diagonal/>
    </border>
    <border>
      <left/>
      <right/>
      <top/>
      <bottom style="thin">
        <color rgb="FFBFBFBF"/>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bottom style="medium">
        <color indexed="64"/>
      </bottom>
      <diagonal/>
    </border>
    <border>
      <left style="thin">
        <color indexed="22"/>
      </left>
      <right style="thin">
        <color indexed="22"/>
      </right>
      <top style="thin">
        <color indexed="22"/>
      </top>
      <bottom style="medium">
        <color indexed="64"/>
      </bottom>
      <diagonal/>
    </border>
    <border>
      <left/>
      <right style="thin">
        <color theme="0" tint="-0.34998626667073579"/>
      </right>
      <top style="thin">
        <color theme="0" tint="-0.34998626667073579"/>
      </top>
      <bottom style="thin">
        <color theme="0" tint="-0.34998626667073579"/>
      </bottom>
      <diagonal/>
    </border>
    <border>
      <left/>
      <right style="thin">
        <color theme="0" tint="-0.24994659260841701"/>
      </right>
      <top style="medium">
        <color indexed="64"/>
      </top>
      <bottom style="thin">
        <color indexed="22"/>
      </bottom>
      <diagonal/>
    </border>
    <border>
      <left/>
      <right/>
      <top style="medium">
        <color indexed="64"/>
      </top>
      <bottom style="thin">
        <color indexed="22"/>
      </bottom>
      <diagonal/>
    </border>
    <border>
      <left style="thin">
        <color theme="0" tint="-0.24994659260841701"/>
      </left>
      <right style="thin">
        <color theme="0" tint="-0.24994659260841701"/>
      </right>
      <top style="medium">
        <color indexed="64"/>
      </top>
      <bottom style="thin">
        <color indexed="22"/>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right style="thin">
        <color theme="0" tint="-0.34998626667073579"/>
      </right>
      <top style="thin">
        <color theme="0" tint="-0.34998626667073579"/>
      </top>
      <bottom/>
      <diagonal/>
    </border>
    <border>
      <left/>
      <right style="thin">
        <color indexed="22"/>
      </right>
      <top style="thin">
        <color indexed="22"/>
      </top>
      <bottom/>
      <diagonal/>
    </border>
    <border>
      <left/>
      <right style="thin">
        <color theme="0" tint="-0.34998626667073579"/>
      </right>
      <top style="medium">
        <color auto="1"/>
      </top>
      <bottom style="thin">
        <color auto="1"/>
      </bottom>
      <diagonal/>
    </border>
    <border>
      <left/>
      <right style="thin">
        <color theme="0" tint="-0.24994659260841701"/>
      </right>
      <top style="medium">
        <color theme="1"/>
      </top>
      <bottom style="thin">
        <color indexed="64"/>
      </bottom>
      <diagonal/>
    </border>
    <border>
      <left/>
      <right style="thin">
        <color indexed="22"/>
      </right>
      <top style="thin">
        <color indexed="22"/>
      </top>
      <bottom style="thin">
        <color indexed="64"/>
      </bottom>
      <diagonal/>
    </border>
    <border>
      <left/>
      <right style="thin">
        <color theme="0" tint="-0.34998626667073579"/>
      </right>
      <top style="thin">
        <color auto="1"/>
      </top>
      <bottom style="medium">
        <color auto="1"/>
      </bottom>
      <diagonal/>
    </border>
    <border>
      <left/>
      <right style="thin">
        <color theme="0" tint="-0.14996795556505021"/>
      </right>
      <top style="thin">
        <color indexed="64"/>
      </top>
      <bottom style="medium">
        <color indexed="64"/>
      </bottom>
      <diagonal/>
    </border>
    <border>
      <left/>
      <right style="thin">
        <color theme="0" tint="-0.14996795556505021"/>
      </right>
      <top style="medium">
        <color indexed="64"/>
      </top>
      <bottom style="thin">
        <color indexed="64"/>
      </bottom>
      <diagonal/>
    </border>
    <border>
      <left/>
      <right style="thin">
        <color indexed="22"/>
      </right>
      <top/>
      <bottom style="medium">
        <color indexed="64"/>
      </bottom>
      <diagonal/>
    </border>
    <border>
      <left/>
      <right/>
      <top style="thin">
        <color auto="1"/>
      </top>
      <bottom style="thin">
        <color theme="1"/>
      </bottom>
      <diagonal/>
    </border>
    <border>
      <left/>
      <right style="thin">
        <color theme="0" tint="-0.34998626667073579"/>
      </right>
      <top style="thin">
        <color theme="1"/>
      </top>
      <bottom style="double">
        <color theme="1"/>
      </bottom>
      <diagonal/>
    </border>
    <border>
      <left/>
      <right style="thin">
        <color indexed="22"/>
      </right>
      <top style="thin">
        <color indexed="64"/>
      </top>
      <bottom style="double">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right style="thin">
        <color rgb="FFC9C9C9"/>
      </right>
      <top style="thin">
        <color rgb="FFC9C9C9"/>
      </top>
      <bottom/>
      <diagonal/>
    </border>
    <border>
      <left/>
      <right style="thin">
        <color rgb="FFC9C9C9"/>
      </right>
      <top/>
      <bottom style="thin">
        <color rgb="FFC9C9C9"/>
      </bottom>
      <diagonal/>
    </border>
    <border>
      <left style="medium">
        <color auto="1"/>
      </left>
      <right/>
      <top/>
      <bottom/>
      <diagonal/>
    </border>
    <border>
      <left style="thin">
        <color indexed="64"/>
      </left>
      <right style="thin">
        <color indexed="64"/>
      </right>
      <top style="thin">
        <color indexed="64"/>
      </top>
      <bottom style="thin">
        <color indexed="64"/>
      </bottom>
      <diagonal/>
    </border>
    <border>
      <left/>
      <right/>
      <top style="thin">
        <color theme="1" tint="0.34998626667073579"/>
      </top>
      <bottom style="thin">
        <color theme="1"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thin">
        <color indexed="64"/>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right/>
      <top style="thin">
        <color indexed="64"/>
      </top>
      <bottom style="double">
        <color indexed="64"/>
      </bottom>
      <diagonal/>
    </border>
    <border>
      <left/>
      <right style="mediumDashDot">
        <color theme="9" tint="-0.249977111117893"/>
      </right>
      <top/>
      <bottom/>
      <diagonal/>
    </border>
    <border>
      <left/>
      <right/>
      <top style="thin">
        <color rgb="FF002645"/>
      </top>
      <bottom style="hair">
        <color theme="0" tint="-0.34998626667073579"/>
      </bottom>
      <diagonal/>
    </border>
    <border>
      <left/>
      <right/>
      <top style="hair">
        <color theme="0" tint="-0.34998626667073579"/>
      </top>
      <bottom style="hair">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bottom style="thin">
        <color theme="0" tint="-0.34998626667073579"/>
      </bottom>
      <diagonal/>
    </border>
    <border>
      <left style="thin">
        <color auto="1"/>
      </left>
      <right style="thin">
        <color auto="1"/>
      </right>
      <top/>
      <bottom/>
      <diagonal/>
    </border>
    <border>
      <left style="thin">
        <color indexed="64"/>
      </left>
      <right style="thin">
        <color indexed="64"/>
      </right>
      <top/>
      <bottom style="thin">
        <color indexed="64"/>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style="thin">
        <color theme="1"/>
      </right>
      <top style="medium">
        <color theme="1"/>
      </top>
      <bottom style="thin">
        <color indexed="64"/>
      </bottom>
      <diagonal/>
    </border>
    <border>
      <left style="thin">
        <color theme="1"/>
      </left>
      <right style="thin">
        <color theme="1"/>
      </right>
      <top style="medium">
        <color theme="1"/>
      </top>
      <bottom/>
      <diagonal/>
    </border>
    <border>
      <left style="thin">
        <color theme="1"/>
      </left>
      <right/>
      <top/>
      <bottom/>
      <diagonal/>
    </border>
    <border>
      <left style="thin">
        <color theme="1"/>
      </left>
      <right/>
      <top style="thin">
        <color indexed="64"/>
      </top>
      <bottom style="thin">
        <color indexed="64"/>
      </bottom>
      <diagonal/>
    </border>
    <border>
      <left style="thin">
        <color theme="1"/>
      </left>
      <right style="thin">
        <color theme="1"/>
      </right>
      <top style="thin">
        <color indexed="64"/>
      </top>
      <bottom style="thin">
        <color indexed="64"/>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right style="hair">
        <color theme="0" tint="-0.34998626667073579"/>
      </right>
      <top/>
      <bottom/>
      <diagonal/>
    </border>
    <border>
      <left/>
      <right/>
      <top style="medium">
        <color theme="1"/>
      </top>
      <bottom/>
      <diagonal/>
    </border>
    <border>
      <left style="hair">
        <color theme="1"/>
      </left>
      <right/>
      <top style="medium">
        <color theme="1"/>
      </top>
      <bottom/>
      <diagonal/>
    </border>
    <border>
      <left/>
      <right style="hair">
        <color theme="1"/>
      </right>
      <top style="medium">
        <color theme="1"/>
      </top>
      <bottom/>
      <diagonal/>
    </border>
    <border>
      <left style="hair">
        <color theme="1"/>
      </left>
      <right/>
      <top style="hair">
        <color theme="0" tint="-0.499984740745262"/>
      </top>
      <bottom style="hair">
        <color theme="0" tint="-0.499984740745262"/>
      </bottom>
      <diagonal/>
    </border>
    <border>
      <left/>
      <right style="hair">
        <color theme="1"/>
      </right>
      <top style="hair">
        <color theme="0" tint="-0.499984740745262"/>
      </top>
      <bottom style="hair">
        <color theme="0" tint="-0.499984740745262"/>
      </bottom>
      <diagonal/>
    </border>
    <border>
      <left style="hair">
        <color theme="1"/>
      </left>
      <right/>
      <top style="hair">
        <color theme="0" tint="-0.499984740745262"/>
      </top>
      <bottom style="hair">
        <color theme="0" tint="-0.34998626667073579"/>
      </bottom>
      <diagonal/>
    </border>
    <border>
      <left/>
      <right style="hair">
        <color theme="1"/>
      </right>
      <top style="hair">
        <color theme="0" tint="-0.499984740745262"/>
      </top>
      <bottom style="hair">
        <color theme="0" tint="-0.34998626667073579"/>
      </bottom>
      <diagonal/>
    </border>
    <border>
      <left style="hair">
        <color theme="1"/>
      </left>
      <right/>
      <top/>
      <bottom/>
      <diagonal/>
    </border>
    <border>
      <left/>
      <right style="hair">
        <color theme="1"/>
      </right>
      <top/>
      <bottom/>
      <diagonal/>
    </border>
    <border>
      <left style="hair">
        <color theme="1"/>
      </left>
      <right/>
      <top style="hair">
        <color theme="0" tint="-0.499984740745262"/>
      </top>
      <bottom style="hair">
        <color theme="1"/>
      </bottom>
      <diagonal/>
    </border>
    <border>
      <left/>
      <right style="hair">
        <color theme="1"/>
      </right>
      <top style="hair">
        <color theme="0" tint="-0.499984740745262"/>
      </top>
      <bottom style="hair">
        <color theme="1"/>
      </bottom>
      <diagonal/>
    </border>
    <border>
      <left/>
      <right/>
      <top/>
      <bottom style="medium">
        <color theme="1"/>
      </bottom>
      <diagonal/>
    </border>
    <border>
      <left style="hair">
        <color theme="0" tint="-0.34998626667073579"/>
      </left>
      <right/>
      <top/>
      <bottom style="hair">
        <color theme="0" tint="-0.34998626667073579"/>
      </bottom>
      <diagonal/>
    </border>
    <border>
      <left/>
      <right/>
      <top/>
      <bottom style="hair">
        <color theme="0" tint="-0.34998626667073579"/>
      </bottom>
      <diagonal/>
    </border>
    <border>
      <left/>
      <right style="hair">
        <color theme="0" tint="-0.34998626667073579"/>
      </right>
      <top/>
      <bottom style="hair">
        <color theme="0" tint="-0.34998626667073579"/>
      </bottom>
      <diagonal/>
    </border>
    <border>
      <left style="thin">
        <color rgb="FF7F7F7F"/>
      </left>
      <right style="thin">
        <color rgb="FF7F7F7F"/>
      </right>
      <top style="thin">
        <color rgb="FF7F7F7F"/>
      </top>
      <bottom style="thin">
        <color rgb="FF7F7F7F"/>
      </bottom>
      <diagonal/>
    </border>
    <border>
      <left style="thin">
        <color theme="4" tint="0.39997558519241921"/>
      </left>
      <right/>
      <top style="thin">
        <color theme="4" tint="0.39997558519241921"/>
      </top>
      <bottom/>
      <diagonal/>
    </border>
    <border>
      <left style="hair">
        <color theme="4"/>
      </left>
      <right style="hair">
        <color theme="4"/>
      </right>
      <top style="hair">
        <color theme="4"/>
      </top>
      <bottom style="hair">
        <color theme="4"/>
      </bottom>
      <diagonal/>
    </border>
    <border>
      <left/>
      <right/>
      <top style="thin">
        <color theme="0" tint="-0.34998626667073579"/>
      </top>
      <bottom/>
      <diagonal/>
    </border>
    <border>
      <left/>
      <right style="thin">
        <color theme="0" tint="-0.34998626667073579"/>
      </right>
      <top/>
      <bottom/>
      <diagonal/>
    </border>
    <border>
      <left style="thin">
        <color theme="0" tint="-0.34998626667073579"/>
      </left>
      <right/>
      <top style="thin">
        <color theme="0" tint="-0.34998626667073579"/>
      </top>
      <bottom style="hair">
        <color theme="0" tint="-0.34998626667073579"/>
      </bottom>
      <diagonal/>
    </border>
    <border>
      <left/>
      <right style="thin">
        <color theme="0" tint="-0.34998626667073579"/>
      </right>
      <top style="thin">
        <color theme="0" tint="-0.34998626667073579"/>
      </top>
      <bottom style="hair">
        <color theme="0" tint="-0.34998626667073579"/>
      </bottom>
      <diagonal/>
    </border>
    <border>
      <left style="thin">
        <color theme="0" tint="-0.34998626667073579"/>
      </left>
      <right style="thin">
        <color theme="0" tint="-0.34998626667073579"/>
      </right>
      <top style="thin">
        <color theme="0" tint="-0.34998626667073579"/>
      </top>
      <bottom style="hair">
        <color theme="0" tint="-0.34998626667073579"/>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auto="1"/>
      </right>
      <top/>
      <bottom/>
      <diagonal/>
    </border>
    <border>
      <left style="thin">
        <color theme="4" tint="0.39997558519241921"/>
      </left>
      <right/>
      <top/>
      <bottom/>
      <diagonal/>
    </border>
    <border>
      <left style="hair">
        <color theme="4"/>
      </left>
      <right style="hair">
        <color theme="4"/>
      </right>
      <top style="hair">
        <color theme="4"/>
      </top>
      <bottom/>
      <diagonal/>
    </border>
    <border>
      <left/>
      <right/>
      <top style="thin">
        <color indexed="64"/>
      </top>
      <bottom style="thin">
        <color indexed="64"/>
      </bottom>
      <diagonal/>
    </border>
  </borders>
  <cellStyleXfs count="33">
    <xf numFmtId="0" fontId="0" fillId="0" borderId="0"/>
    <xf numFmtId="0" fontId="38"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10" fillId="0" borderId="0" applyNumberFormat="0" applyFill="0" applyBorder="0" applyAlignment="0" applyProtection="0"/>
    <xf numFmtId="0" fontId="4" fillId="0" borderId="0"/>
    <xf numFmtId="0" fontId="10" fillId="0" borderId="0"/>
    <xf numFmtId="43" fontId="11" fillId="0" borderId="0" applyFont="0" applyFill="0" applyBorder="0" applyAlignment="0" applyProtection="0"/>
    <xf numFmtId="0" fontId="12" fillId="0" borderId="0"/>
    <xf numFmtId="9" fontId="11" fillId="0" borderId="0" applyFont="0" applyFill="0" applyBorder="0" applyAlignment="0" applyProtection="0"/>
    <xf numFmtId="43" fontId="10" fillId="0" borderId="0" applyFont="0" applyFill="0" applyBorder="0" applyAlignment="0" applyProtection="0"/>
    <xf numFmtId="44" fontId="11" fillId="0" borderId="0" applyFont="0" applyFill="0" applyBorder="0" applyAlignment="0" applyProtection="0"/>
    <xf numFmtId="43" fontId="4" fillId="0" borderId="0" applyFont="0" applyFill="0" applyBorder="0" applyAlignment="0" applyProtection="0"/>
    <xf numFmtId="0" fontId="13" fillId="6" borderId="0" applyNumberFormat="0" applyBorder="0" applyAlignment="0" applyProtection="0"/>
    <xf numFmtId="44" fontId="10" fillId="0" borderId="0" applyFont="0" applyFill="0" applyBorder="0" applyAlignment="0" applyProtection="0"/>
    <xf numFmtId="43" fontId="8" fillId="0" borderId="0" applyFont="0" applyFill="0" applyBorder="0" applyAlignment="0" applyProtection="0"/>
    <xf numFmtId="0" fontId="14" fillId="4" borderId="2" applyNumberFormat="0" applyAlignment="0" applyProtection="0"/>
    <xf numFmtId="0" fontId="11" fillId="5" borderId="0" applyNumberFormat="0" applyBorder="0" applyAlignment="0" applyProtection="0"/>
    <xf numFmtId="0" fontId="3" fillId="0" borderId="0"/>
    <xf numFmtId="0" fontId="3" fillId="0" borderId="0"/>
    <xf numFmtId="0" fontId="2" fillId="0" borderId="0"/>
    <xf numFmtId="0" fontId="16" fillId="0" borderId="0" applyNumberForma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0" fontId="26" fillId="0" borderId="0" applyNumberFormat="0" applyFill="0" applyBorder="0" applyAlignment="0" applyProtection="0"/>
    <xf numFmtId="0" fontId="28" fillId="16" borderId="35">
      <alignment horizontal="left" vertical="center"/>
    </xf>
    <xf numFmtId="0" fontId="1" fillId="0" borderId="0"/>
    <xf numFmtId="43" fontId="8" fillId="0" borderId="0" applyFont="0" applyFill="0" applyBorder="0" applyAlignment="0" applyProtection="0"/>
    <xf numFmtId="0" fontId="8" fillId="0" borderId="0"/>
    <xf numFmtId="0" fontId="1" fillId="0" borderId="0"/>
    <xf numFmtId="0" fontId="107" fillId="27" borderId="128" applyNumberFormat="0" applyAlignment="0" applyProtection="0"/>
    <xf numFmtId="0" fontId="108" fillId="28" borderId="128" applyNumberFormat="0" applyAlignment="0" applyProtection="0"/>
  </cellStyleXfs>
  <cellXfs count="502">
    <xf numFmtId="0" fontId="0" fillId="0" borderId="0" xfId="0"/>
    <xf numFmtId="0" fontId="92" fillId="2" borderId="91" xfId="0" applyFont="1" applyFill="1" applyBorder="1" applyAlignment="1">
      <alignment horizontal="center" vertical="center" textRotation="45"/>
    </xf>
    <xf numFmtId="0" fontId="97" fillId="3" borderId="0" xfId="0" applyFont="1" applyFill="1" applyAlignment="1">
      <alignment horizontal="center" vertical="center" textRotation="75"/>
    </xf>
    <xf numFmtId="0" fontId="92" fillId="2" borderId="90" xfId="0" applyFont="1" applyFill="1" applyBorder="1" applyAlignment="1">
      <alignment horizontal="center" vertical="center" textRotation="45"/>
    </xf>
    <xf numFmtId="0" fontId="52" fillId="3" borderId="0" xfId="0" applyFont="1" applyFill="1" applyAlignment="1">
      <alignment horizontal="center" vertical="center" textRotation="75"/>
    </xf>
    <xf numFmtId="0" fontId="92" fillId="2" borderId="89" xfId="0" applyFont="1" applyFill="1" applyBorder="1" applyAlignment="1">
      <alignment horizontal="center" vertical="center" textRotation="45"/>
    </xf>
    <xf numFmtId="0" fontId="4" fillId="2" borderId="0" xfId="6" applyFill="1"/>
    <xf numFmtId="0" fontId="6" fillId="2" borderId="0" xfId="6" applyFont="1" applyFill="1"/>
    <xf numFmtId="0" fontId="5" fillId="3" borderId="0" xfId="6" applyFont="1" applyFill="1"/>
    <xf numFmtId="0" fontId="7" fillId="3" borderId="1" xfId="6" applyFont="1" applyFill="1" applyBorder="1"/>
    <xf numFmtId="0" fontId="5" fillId="3" borderId="1" xfId="6" applyFont="1" applyFill="1" applyBorder="1"/>
    <xf numFmtId="0" fontId="18" fillId="3" borderId="0" xfId="6" applyFont="1" applyFill="1"/>
    <xf numFmtId="0" fontId="20" fillId="3" borderId="0" xfId="6" applyFont="1" applyFill="1"/>
    <xf numFmtId="0" fontId="21" fillId="3" borderId="0" xfId="6" applyFont="1" applyFill="1"/>
    <xf numFmtId="0" fontId="19" fillId="3" borderId="1" xfId="6" applyFont="1" applyFill="1" applyBorder="1"/>
    <xf numFmtId="0" fontId="18" fillId="3" borderId="1" xfId="6" applyFont="1" applyFill="1" applyBorder="1"/>
    <xf numFmtId="0" fontId="4" fillId="2" borderId="0" xfId="6" applyFill="1" applyAlignment="1">
      <alignment horizontal="center"/>
    </xf>
    <xf numFmtId="0" fontId="5" fillId="3" borderId="0" xfId="6" applyFont="1" applyFill="1" applyAlignment="1">
      <alignment horizontal="center"/>
    </xf>
    <xf numFmtId="0" fontId="19" fillId="3" borderId="1" xfId="6" applyFont="1" applyFill="1" applyBorder="1" applyAlignment="1">
      <alignment horizontal="center"/>
    </xf>
    <xf numFmtId="0" fontId="5" fillId="2" borderId="0" xfId="6" applyFont="1" applyFill="1"/>
    <xf numFmtId="0" fontId="4" fillId="0" borderId="0" xfId="6"/>
    <xf numFmtId="0" fontId="5" fillId="3" borderId="3" xfId="6" applyFont="1" applyFill="1" applyBorder="1"/>
    <xf numFmtId="0" fontId="5" fillId="3" borderId="4" xfId="6" applyFont="1" applyFill="1" applyBorder="1"/>
    <xf numFmtId="0" fontId="22" fillId="3" borderId="3" xfId="6" applyFont="1" applyFill="1" applyBorder="1"/>
    <xf numFmtId="0" fontId="22" fillId="3" borderId="4" xfId="6" applyFont="1" applyFill="1" applyBorder="1"/>
    <xf numFmtId="0" fontId="25" fillId="0" borderId="0" xfId="0" applyFont="1"/>
    <xf numFmtId="0" fontId="24" fillId="0" borderId="8" xfId="0" applyFont="1" applyBorder="1"/>
    <xf numFmtId="0" fontId="25" fillId="0" borderId="8" xfId="0" applyFont="1" applyBorder="1"/>
    <xf numFmtId="165" fontId="25" fillId="0" borderId="8" xfId="24" applyNumberFormat="1" applyFont="1" applyFill="1" applyBorder="1"/>
    <xf numFmtId="0" fontId="27" fillId="0" borderId="0" xfId="0" applyFont="1"/>
    <xf numFmtId="0" fontId="25" fillId="0" borderId="20" xfId="0" applyFont="1" applyBorder="1"/>
    <xf numFmtId="0" fontId="25" fillId="0" borderId="21" xfId="0" applyFont="1" applyBorder="1"/>
    <xf numFmtId="0" fontId="25" fillId="0" borderId="22" xfId="0" applyFont="1" applyBorder="1"/>
    <xf numFmtId="0" fontId="25" fillId="0" borderId="23" xfId="0" applyFont="1" applyBorder="1"/>
    <xf numFmtId="0" fontId="25" fillId="0" borderId="25" xfId="0" applyFont="1" applyBorder="1"/>
    <xf numFmtId="0" fontId="30" fillId="11" borderId="26" xfId="0" applyFont="1" applyFill="1" applyBorder="1"/>
    <xf numFmtId="0" fontId="25" fillId="12" borderId="27" xfId="0" applyFont="1" applyFill="1" applyBorder="1"/>
    <xf numFmtId="0" fontId="25" fillId="12" borderId="28" xfId="0" applyFont="1" applyFill="1" applyBorder="1"/>
    <xf numFmtId="0" fontId="25" fillId="0" borderId="28" xfId="0" applyFont="1" applyBorder="1"/>
    <xf numFmtId="49" fontId="25" fillId="0" borderId="28" xfId="0" applyNumberFormat="1" applyFont="1" applyBorder="1"/>
    <xf numFmtId="0" fontId="25" fillId="0" borderId="28" xfId="0" applyFont="1" applyBorder="1" applyAlignment="1">
      <alignment horizontal="center"/>
    </xf>
    <xf numFmtId="0" fontId="25" fillId="0" borderId="29" xfId="0" applyFont="1" applyBorder="1"/>
    <xf numFmtId="0" fontId="25" fillId="0" borderId="30" xfId="0" applyFont="1" applyBorder="1"/>
    <xf numFmtId="0" fontId="25" fillId="0" borderId="31" xfId="0" applyFont="1" applyBorder="1"/>
    <xf numFmtId="0" fontId="25" fillId="0" borderId="32" xfId="0" applyFont="1" applyBorder="1"/>
    <xf numFmtId="0" fontId="24" fillId="13" borderId="0" xfId="0" applyFont="1" applyFill="1" applyAlignment="1">
      <alignment horizontal="centerContinuous"/>
    </xf>
    <xf numFmtId="0" fontId="25" fillId="13" borderId="0" xfId="0" applyFont="1" applyFill="1" applyAlignment="1">
      <alignment horizontal="centerContinuous"/>
    </xf>
    <xf numFmtId="0" fontId="24" fillId="14" borderId="0" xfId="0" applyFont="1" applyFill="1" applyAlignment="1">
      <alignment horizontal="centerContinuous"/>
    </xf>
    <xf numFmtId="0" fontId="25" fillId="14" borderId="0" xfId="0" applyFont="1" applyFill="1" applyAlignment="1">
      <alignment horizontal="centerContinuous"/>
    </xf>
    <xf numFmtId="0" fontId="24" fillId="15" borderId="0" xfId="0" applyFont="1" applyFill="1" applyAlignment="1">
      <alignment horizontal="centerContinuous"/>
    </xf>
    <xf numFmtId="0" fontId="25" fillId="15" borderId="0" xfId="0" applyFont="1" applyFill="1" applyAlignment="1">
      <alignment horizontal="centerContinuous"/>
    </xf>
    <xf numFmtId="0" fontId="24" fillId="0" borderId="0" xfId="0" applyFont="1"/>
    <xf numFmtId="0" fontId="27" fillId="12" borderId="27" xfId="0" applyFont="1" applyFill="1" applyBorder="1"/>
    <xf numFmtId="0" fontId="27" fillId="12" borderId="28" xfId="0" applyFont="1" applyFill="1" applyBorder="1"/>
    <xf numFmtId="0" fontId="27" fillId="10" borderId="27" xfId="0" applyFont="1" applyFill="1" applyBorder="1"/>
    <xf numFmtId="0" fontId="27" fillId="10" borderId="28" xfId="0" applyFont="1" applyFill="1" applyBorder="1"/>
    <xf numFmtId="0" fontId="27" fillId="10" borderId="33" xfId="0" applyFont="1" applyFill="1" applyBorder="1"/>
    <xf numFmtId="0" fontId="27" fillId="10" borderId="34" xfId="0" applyFont="1" applyFill="1" applyBorder="1"/>
    <xf numFmtId="49" fontId="25" fillId="0" borderId="34" xfId="0" applyNumberFormat="1" applyFont="1" applyBorder="1"/>
    <xf numFmtId="49" fontId="25" fillId="0" borderId="0" xfId="0" applyNumberFormat="1" applyFont="1"/>
    <xf numFmtId="0" fontId="34" fillId="0" borderId="0" xfId="0" applyFont="1" applyAlignment="1">
      <alignment vertical="center"/>
    </xf>
    <xf numFmtId="0" fontId="27" fillId="0" borderId="0" xfId="7" applyFont="1"/>
    <xf numFmtId="0" fontId="30" fillId="0" borderId="56" xfId="7" applyFont="1" applyBorder="1" applyAlignment="1">
      <alignment horizontal="center" vertical="top"/>
    </xf>
    <xf numFmtId="166" fontId="33" fillId="13" borderId="39" xfId="15" applyNumberFormat="1" applyFont="1" applyFill="1" applyBorder="1" applyAlignment="1">
      <alignment horizontal="right"/>
    </xf>
    <xf numFmtId="44" fontId="33" fillId="0" borderId="57" xfId="15" applyFont="1" applyBorder="1" applyAlignment="1">
      <alignment horizontal="center"/>
    </xf>
    <xf numFmtId="0" fontId="33" fillId="13" borderId="58" xfId="4" applyFont="1" applyFill="1" applyBorder="1" applyAlignment="1">
      <alignment horizontal="center"/>
    </xf>
    <xf numFmtId="0" fontId="30" fillId="17" borderId="57" xfId="2" applyFont="1" applyFill="1" applyBorder="1" applyAlignment="1">
      <alignment horizontal="center"/>
    </xf>
    <xf numFmtId="0" fontId="39" fillId="0" borderId="59" xfId="15" applyNumberFormat="1" applyFont="1" applyBorder="1" applyAlignment="1">
      <alignment horizontal="left"/>
    </xf>
    <xf numFmtId="164" fontId="40" fillId="2" borderId="60" xfId="7" applyNumberFormat="1" applyFont="1" applyFill="1" applyBorder="1" applyAlignment="1">
      <alignment horizontal="center"/>
    </xf>
    <xf numFmtId="164" fontId="27" fillId="0" borderId="61" xfId="7" applyNumberFormat="1" applyFont="1" applyBorder="1" applyAlignment="1">
      <alignment horizontal="center"/>
    </xf>
    <xf numFmtId="0" fontId="27" fillId="0" borderId="61" xfId="4" applyFont="1" applyBorder="1" applyAlignment="1">
      <alignment horizontal="center"/>
    </xf>
    <xf numFmtId="164" fontId="40" fillId="2" borderId="62" xfId="7" applyNumberFormat="1" applyFont="1" applyFill="1" applyBorder="1" applyAlignment="1">
      <alignment horizontal="center"/>
    </xf>
    <xf numFmtId="164" fontId="27" fillId="0" borderId="61" xfId="15" applyNumberFormat="1" applyFont="1" applyBorder="1" applyAlignment="1">
      <alignment horizontal="center"/>
    </xf>
    <xf numFmtId="0" fontId="33" fillId="0" borderId="61" xfId="2" applyFont="1" applyBorder="1" applyAlignment="1">
      <alignment horizontal="center"/>
    </xf>
    <xf numFmtId="0" fontId="27" fillId="0" borderId="59" xfId="15" applyNumberFormat="1" applyFont="1" applyBorder="1" applyAlignment="1">
      <alignment horizontal="left" indent="2"/>
    </xf>
    <xf numFmtId="165" fontId="27" fillId="0" borderId="63" xfId="24" applyNumberFormat="1" applyFont="1" applyBorder="1"/>
    <xf numFmtId="165" fontId="27" fillId="0" borderId="64" xfId="24" applyNumberFormat="1" applyFont="1" applyBorder="1"/>
    <xf numFmtId="165" fontId="27" fillId="13" borderId="64" xfId="24" applyNumberFormat="1" applyFont="1" applyFill="1" applyBorder="1"/>
    <xf numFmtId="165" fontId="27" fillId="0" borderId="65" xfId="24" applyNumberFormat="1" applyFont="1" applyBorder="1"/>
    <xf numFmtId="0" fontId="27" fillId="0" borderId="66" xfId="15" applyNumberFormat="1" applyFont="1" applyBorder="1" applyAlignment="1">
      <alignment horizontal="left" indent="2"/>
    </xf>
    <xf numFmtId="165" fontId="27" fillId="0" borderId="67" xfId="24" applyNumberFormat="1" applyFont="1" applyBorder="1"/>
    <xf numFmtId="0" fontId="33" fillId="0" borderId="68" xfId="5" applyFont="1" applyBorder="1" applyAlignment="1">
      <alignment horizontal="left" indent="1"/>
    </xf>
    <xf numFmtId="165" fontId="27" fillId="0" borderId="69" xfId="24" applyNumberFormat="1" applyFont="1" applyBorder="1"/>
    <xf numFmtId="0" fontId="27" fillId="0" borderId="0" xfId="7" applyFont="1" applyAlignment="1">
      <alignment horizontal="left" indent="1"/>
    </xf>
    <xf numFmtId="165" fontId="27" fillId="0" borderId="0" xfId="24" applyNumberFormat="1" applyFont="1"/>
    <xf numFmtId="0" fontId="39" fillId="0" borderId="3" xfId="15" applyNumberFormat="1" applyFont="1" applyBorder="1" applyAlignment="1">
      <alignment horizontal="left"/>
    </xf>
    <xf numFmtId="165" fontId="27" fillId="0" borderId="70" xfId="24" applyNumberFormat="1" applyFont="1" applyBorder="1"/>
    <xf numFmtId="0" fontId="33" fillId="0" borderId="71" xfId="5" applyFont="1" applyBorder="1" applyAlignment="1">
      <alignment horizontal="left" indent="1"/>
    </xf>
    <xf numFmtId="165" fontId="27" fillId="0" borderId="72" xfId="24" applyNumberFormat="1" applyFont="1" applyBorder="1"/>
    <xf numFmtId="0" fontId="39" fillId="0" borderId="68" xfId="15" applyNumberFormat="1" applyFont="1" applyBorder="1" applyAlignment="1">
      <alignment horizontal="left"/>
    </xf>
    <xf numFmtId="165" fontId="27" fillId="0" borderId="73" xfId="24" applyNumberFormat="1" applyFont="1" applyBorder="1"/>
    <xf numFmtId="0" fontId="33" fillId="0" borderId="0" xfId="7" applyFont="1"/>
    <xf numFmtId="0" fontId="27" fillId="0" borderId="59" xfId="15" applyNumberFormat="1" applyFont="1" applyBorder="1" applyAlignment="1">
      <alignment horizontal="left"/>
    </xf>
    <xf numFmtId="0" fontId="27" fillId="0" borderId="66" xfId="15" applyNumberFormat="1" applyFont="1" applyBorder="1" applyAlignment="1">
      <alignment horizontal="left"/>
    </xf>
    <xf numFmtId="165" fontId="27" fillId="0" borderId="74" xfId="24" applyNumberFormat="1" applyFont="1" applyBorder="1"/>
    <xf numFmtId="0" fontId="33" fillId="0" borderId="68" xfId="3" applyFont="1" applyBorder="1" applyAlignment="1">
      <alignment horizontal="left" indent="1"/>
    </xf>
    <xf numFmtId="0" fontId="41" fillId="0" borderId="75" xfId="15" applyNumberFormat="1" applyFont="1" applyBorder="1" applyAlignment="1">
      <alignment horizontal="left"/>
    </xf>
    <xf numFmtId="166" fontId="27" fillId="0" borderId="0" xfId="15" applyNumberFormat="1" applyFont="1" applyBorder="1"/>
    <xf numFmtId="166" fontId="27" fillId="0" borderId="0" xfId="4" applyNumberFormat="1" applyFont="1" applyBorder="1"/>
    <xf numFmtId="166" fontId="27" fillId="0" borderId="0" xfId="2" applyNumberFormat="1" applyFont="1" applyFill="1" applyBorder="1"/>
    <xf numFmtId="0" fontId="33" fillId="0" borderId="76" xfId="1" applyFont="1" applyBorder="1" applyAlignment="1">
      <alignment horizontal="left" indent="1"/>
    </xf>
    <xf numFmtId="166" fontId="33" fillId="0" borderId="77" xfId="1" applyNumberFormat="1" applyFont="1" applyBorder="1"/>
    <xf numFmtId="0" fontId="35" fillId="0" borderId="0" xfId="0" applyFont="1"/>
    <xf numFmtId="168" fontId="25" fillId="0" borderId="8" xfId="0" applyNumberFormat="1" applyFont="1" applyBorder="1"/>
    <xf numFmtId="164" fontId="24" fillId="8" borderId="9" xfId="10" applyNumberFormat="1" applyFont="1" applyFill="1" applyBorder="1" applyAlignment="1">
      <alignment horizontal="left" vertical="center"/>
    </xf>
    <xf numFmtId="0" fontId="25" fillId="0" borderId="85" xfId="0" applyFont="1" applyBorder="1"/>
    <xf numFmtId="0" fontId="24" fillId="0" borderId="0" xfId="6" applyFont="1"/>
    <xf numFmtId="0" fontId="24" fillId="0" borderId="85" xfId="0" applyFont="1" applyBorder="1"/>
    <xf numFmtId="0" fontId="43" fillId="3" borderId="0" xfId="25" applyFont="1" applyFill="1" applyBorder="1"/>
    <xf numFmtId="169" fontId="43" fillId="3" borderId="0" xfId="25" applyNumberFormat="1" applyFont="1" applyFill="1" applyBorder="1"/>
    <xf numFmtId="0" fontId="24" fillId="0" borderId="0" xfId="0" applyFont="1" applyAlignment="1">
      <alignment horizontal="right"/>
    </xf>
    <xf numFmtId="0" fontId="44" fillId="0" borderId="10" xfId="0" applyFont="1" applyBorder="1"/>
    <xf numFmtId="9" fontId="24" fillId="0" borderId="10" xfId="0" applyNumberFormat="1" applyFont="1" applyBorder="1"/>
    <xf numFmtId="0" fontId="25" fillId="2" borderId="86" xfId="0" applyFont="1" applyFill="1" applyBorder="1"/>
    <xf numFmtId="0" fontId="30" fillId="3" borderId="0" xfId="6" applyFont="1" applyFill="1"/>
    <xf numFmtId="0" fontId="7" fillId="3" borderId="0" xfId="6" applyFont="1" applyFill="1"/>
    <xf numFmtId="0" fontId="1" fillId="2" borderId="0" xfId="6" applyFont="1" applyFill="1"/>
    <xf numFmtId="0" fontId="4" fillId="3" borderId="0" xfId="6" applyFill="1"/>
    <xf numFmtId="0" fontId="1" fillId="3" borderId="0" xfId="6" applyFont="1" applyFill="1"/>
    <xf numFmtId="0" fontId="42" fillId="3" borderId="0" xfId="6" applyFont="1" applyFill="1"/>
    <xf numFmtId="0" fontId="52" fillId="3" borderId="0" xfId="6" applyFont="1" applyFill="1"/>
    <xf numFmtId="0" fontId="53" fillId="2" borderId="0" xfId="6" applyFont="1" applyFill="1"/>
    <xf numFmtId="0" fontId="54" fillId="2" borderId="0" xfId="6" applyFont="1" applyFill="1"/>
    <xf numFmtId="0" fontId="23" fillId="0" borderId="0" xfId="6" applyFont="1"/>
    <xf numFmtId="0" fontId="30" fillId="3" borderId="3" xfId="0" applyFont="1" applyFill="1" applyBorder="1"/>
    <xf numFmtId="0" fontId="30" fillId="3" borderId="10" xfId="7" applyFont="1" applyFill="1" applyBorder="1" applyAlignment="1">
      <alignment horizontal="centerContinuous" vertical="center"/>
    </xf>
    <xf numFmtId="0" fontId="30" fillId="3" borderId="0" xfId="0" applyFont="1" applyFill="1"/>
    <xf numFmtId="0" fontId="30" fillId="3" borderId="0" xfId="0" applyFont="1" applyFill="1" applyAlignment="1">
      <alignment horizontal="left" indent="4"/>
    </xf>
    <xf numFmtId="0" fontId="45" fillId="3" borderId="0" xfId="0" applyFont="1" applyFill="1"/>
    <xf numFmtId="0" fontId="1" fillId="0" borderId="0" xfId="6" applyFont="1"/>
    <xf numFmtId="0" fontId="25" fillId="3" borderId="0" xfId="0" applyFont="1" applyFill="1"/>
    <xf numFmtId="15" fontId="25" fillId="0" borderId="85" xfId="0" applyNumberFormat="1" applyFont="1" applyBorder="1"/>
    <xf numFmtId="43" fontId="25" fillId="0" borderId="85" xfId="24" applyFont="1" applyBorder="1"/>
    <xf numFmtId="0" fontId="25" fillId="3" borderId="0" xfId="6" applyFont="1" applyFill="1"/>
    <xf numFmtId="0" fontId="30" fillId="3" borderId="10" xfId="0" applyFont="1" applyFill="1" applyBorder="1"/>
    <xf numFmtId="0" fontId="55" fillId="0" borderId="53" xfId="27" applyFont="1" applyBorder="1"/>
    <xf numFmtId="0" fontId="56" fillId="0" borderId="53" xfId="27" applyFont="1" applyBorder="1"/>
    <xf numFmtId="0" fontId="57" fillId="0" borderId="53" xfId="27" applyFont="1" applyBorder="1"/>
    <xf numFmtId="0" fontId="30" fillId="22" borderId="0" xfId="0" applyFont="1" applyFill="1"/>
    <xf numFmtId="0" fontId="58" fillId="0" borderId="0" xfId="0" applyFont="1" applyAlignment="1">
      <alignment horizontal="center"/>
    </xf>
    <xf numFmtId="10" fontId="25" fillId="0" borderId="0" xfId="0" applyNumberFormat="1" applyFont="1"/>
    <xf numFmtId="0" fontId="25" fillId="0" borderId="0" xfId="21" applyFont="1"/>
    <xf numFmtId="0" fontId="59" fillId="3" borderId="0" xfId="6" applyFont="1" applyFill="1"/>
    <xf numFmtId="0" fontId="25" fillId="0" borderId="0" xfId="19" applyFont="1"/>
    <xf numFmtId="0" fontId="60" fillId="3" borderId="0" xfId="6" applyFont="1" applyFill="1"/>
    <xf numFmtId="0" fontId="59" fillId="3" borderId="0" xfId="0" applyFont="1" applyFill="1"/>
    <xf numFmtId="0" fontId="33" fillId="0" borderId="0" xfId="25" applyFont="1" applyFill="1" applyBorder="1" applyAlignment="1">
      <alignment horizontal="right"/>
    </xf>
    <xf numFmtId="9" fontId="56" fillId="0" borderId="0" xfId="0" applyNumberFormat="1" applyFont="1" applyAlignment="1">
      <alignment horizontal="center"/>
    </xf>
    <xf numFmtId="0" fontId="56" fillId="0" borderId="0" xfId="0" applyFont="1"/>
    <xf numFmtId="0" fontId="27" fillId="0" borderId="0" xfId="25" applyFont="1" applyFill="1" applyBorder="1"/>
    <xf numFmtId="0" fontId="35" fillId="0" borderId="78" xfId="0" applyFont="1" applyBorder="1"/>
    <xf numFmtId="0" fontId="35" fillId="0" borderId="78" xfId="0" applyFont="1" applyBorder="1" applyAlignment="1">
      <alignment horizontal="center"/>
    </xf>
    <xf numFmtId="0" fontId="60" fillId="0" borderId="38" xfId="0" applyFont="1" applyBorder="1"/>
    <xf numFmtId="0" fontId="25" fillId="0" borderId="38" xfId="0" applyFont="1" applyBorder="1"/>
    <xf numFmtId="0" fontId="56" fillId="0" borderId="78" xfId="0" applyFont="1" applyBorder="1"/>
    <xf numFmtId="0" fontId="61" fillId="0" borderId="78" xfId="0" applyFont="1" applyBorder="1" applyAlignment="1">
      <alignment horizontal="center"/>
    </xf>
    <xf numFmtId="167" fontId="56" fillId="18" borderId="78" xfId="0" applyNumberFormat="1" applyFont="1" applyFill="1" applyBorder="1" applyAlignment="1">
      <alignment horizontal="center"/>
    </xf>
    <xf numFmtId="0" fontId="30" fillId="19" borderId="0" xfId="0" applyFont="1" applyFill="1"/>
    <xf numFmtId="0" fontId="59" fillId="19" borderId="0" xfId="0" applyFont="1" applyFill="1"/>
    <xf numFmtId="0" fontId="35" fillId="0" borderId="0" xfId="0" applyFont="1" applyAlignment="1">
      <alignment horizontal="center"/>
    </xf>
    <xf numFmtId="0" fontId="35" fillId="0" borderId="0" xfId="0" applyFont="1" applyAlignment="1">
      <alignment horizontal="left" vertical="center"/>
    </xf>
    <xf numFmtId="9" fontId="40" fillId="0" borderId="78" xfId="0" applyNumberFormat="1" applyFont="1" applyBorder="1" applyAlignment="1">
      <alignment horizontal="center" vertical="center"/>
    </xf>
    <xf numFmtId="0" fontId="56" fillId="0" borderId="79" xfId="0" applyFont="1" applyBorder="1"/>
    <xf numFmtId="0" fontId="61" fillId="0" borderId="78" xfId="0" applyFont="1" applyBorder="1"/>
    <xf numFmtId="0" fontId="56" fillId="18" borderId="78" xfId="0" applyFont="1" applyFill="1" applyBorder="1"/>
    <xf numFmtId="0" fontId="56" fillId="0" borderId="80" xfId="0" applyFont="1" applyBorder="1"/>
    <xf numFmtId="0" fontId="56" fillId="0" borderId="81" xfId="0" applyFont="1" applyBorder="1"/>
    <xf numFmtId="0" fontId="62" fillId="0" borderId="0" xfId="0" applyFont="1"/>
    <xf numFmtId="0" fontId="47" fillId="0" borderId="36" xfId="0" applyFont="1" applyBorder="1" applyAlignment="1">
      <alignment horizontal="left" indent="1"/>
    </xf>
    <xf numFmtId="0" fontId="25" fillId="0" borderId="37" xfId="0" applyFont="1" applyBorder="1"/>
    <xf numFmtId="0" fontId="25" fillId="0" borderId="40" xfId="0" applyFont="1" applyBorder="1"/>
    <xf numFmtId="0" fontId="25" fillId="0" borderId="41" xfId="0" applyFont="1" applyBorder="1"/>
    <xf numFmtId="0" fontId="25" fillId="0" borderId="42" xfId="0" applyFont="1" applyBorder="1" applyAlignment="1">
      <alignment horizontal="left" indent="3"/>
    </xf>
    <xf numFmtId="0" fontId="25" fillId="0" borderId="43" xfId="0" applyFont="1" applyBorder="1"/>
    <xf numFmtId="0" fontId="25" fillId="0" borderId="44" xfId="0" applyFont="1" applyBorder="1"/>
    <xf numFmtId="0" fontId="25" fillId="0" borderId="45" xfId="0" applyFont="1" applyBorder="1"/>
    <xf numFmtId="9" fontId="25" fillId="0" borderId="0" xfId="0" applyNumberFormat="1" applyFont="1"/>
    <xf numFmtId="9" fontId="40" fillId="0" borderId="46" xfId="0" applyNumberFormat="1" applyFont="1" applyBorder="1" applyAlignment="1">
      <alignment horizontal="center"/>
    </xf>
    <xf numFmtId="9" fontId="40" fillId="0" borderId="50" xfId="0" applyNumberFormat="1" applyFont="1" applyBorder="1" applyAlignment="1">
      <alignment horizontal="center"/>
    </xf>
    <xf numFmtId="9" fontId="40" fillId="0" borderId="82" xfId="0" applyNumberFormat="1" applyFont="1" applyBorder="1" applyAlignment="1">
      <alignment horizontal="center"/>
    </xf>
    <xf numFmtId="9" fontId="40" fillId="0" borderId="48" xfId="0" applyNumberFormat="1" applyFont="1" applyBorder="1" applyAlignment="1">
      <alignment horizontal="center"/>
    </xf>
    <xf numFmtId="0" fontId="35" fillId="0" borderId="47" xfId="0" applyFont="1" applyBorder="1" applyAlignment="1">
      <alignment horizontal="center"/>
    </xf>
    <xf numFmtId="6" fontId="61" fillId="0" borderId="50" xfId="0" applyNumberFormat="1" applyFont="1" applyBorder="1" applyAlignment="1">
      <alignment horizontal="center"/>
    </xf>
    <xf numFmtId="4" fontId="25" fillId="18" borderId="83" xfId="0" applyNumberFormat="1" applyFont="1" applyFill="1" applyBorder="1" applyAlignment="1">
      <alignment horizontal="center"/>
    </xf>
    <xf numFmtId="4" fontId="25" fillId="18" borderId="50" xfId="0" applyNumberFormat="1" applyFont="1" applyFill="1" applyBorder="1" applyAlignment="1">
      <alignment horizontal="center"/>
    </xf>
    <xf numFmtId="0" fontId="35" fillId="0" borderId="51" xfId="0" applyFont="1" applyBorder="1" applyAlignment="1">
      <alignment horizontal="center"/>
    </xf>
    <xf numFmtId="6" fontId="61" fillId="0" borderId="52" xfId="0" applyNumberFormat="1" applyFont="1" applyBorder="1" applyAlignment="1">
      <alignment horizontal="center"/>
    </xf>
    <xf numFmtId="6" fontId="61" fillId="0" borderId="49" xfId="0" applyNumberFormat="1" applyFont="1" applyBorder="1" applyAlignment="1">
      <alignment horizontal="center"/>
    </xf>
    <xf numFmtId="0" fontId="35" fillId="0" borderId="52" xfId="0" applyFont="1" applyBorder="1" applyAlignment="1">
      <alignment horizontal="center"/>
    </xf>
    <xf numFmtId="0" fontId="55" fillId="0" borderId="53" xfId="0" applyFont="1" applyBorder="1"/>
    <xf numFmtId="0" fontId="56" fillId="0" borderId="53" xfId="0" applyFont="1" applyBorder="1"/>
    <xf numFmtId="0" fontId="64" fillId="13" borderId="54" xfId="7" applyFont="1" applyFill="1" applyBorder="1" applyAlignment="1">
      <alignment horizontal="centerContinuous" vertical="center"/>
    </xf>
    <xf numFmtId="0" fontId="64" fillId="13" borderId="55" xfId="7" applyFont="1" applyFill="1" applyBorder="1" applyAlignment="1">
      <alignment horizontal="centerContinuous" vertical="center"/>
    </xf>
    <xf numFmtId="0" fontId="64" fillId="13" borderId="9" xfId="7" applyFont="1" applyFill="1" applyBorder="1" applyAlignment="1">
      <alignment horizontal="centerContinuous" vertical="center"/>
    </xf>
    <xf numFmtId="165" fontId="25" fillId="0" borderId="0" xfId="24" applyNumberFormat="1" applyFont="1"/>
    <xf numFmtId="165" fontId="25" fillId="0" borderId="0" xfId="24" applyNumberFormat="1" applyFont="1" applyFill="1"/>
    <xf numFmtId="0" fontId="27" fillId="0" borderId="0" xfId="19" applyFont="1" applyAlignment="1">
      <alignment horizontal="center"/>
    </xf>
    <xf numFmtId="0" fontId="25" fillId="0" borderId="0" xfId="9" applyFont="1"/>
    <xf numFmtId="0" fontId="33" fillId="9" borderId="6" xfId="7" applyFont="1" applyFill="1" applyBorder="1" applyAlignment="1">
      <alignment horizontal="centerContinuous" vertical="center"/>
    </xf>
    <xf numFmtId="0" fontId="65" fillId="0" borderId="7" xfId="0" applyFont="1" applyBorder="1"/>
    <xf numFmtId="0" fontId="25" fillId="0" borderId="7" xfId="0" applyFont="1" applyBorder="1"/>
    <xf numFmtId="0" fontId="33" fillId="0" borderId="0" xfId="7" applyFont="1" applyAlignment="1">
      <alignment vertical="center"/>
    </xf>
    <xf numFmtId="43" fontId="25" fillId="0" borderId="0" xfId="8" applyFont="1"/>
    <xf numFmtId="165" fontId="27" fillId="2" borderId="9" xfId="24" applyNumberFormat="1" applyFont="1" applyFill="1" applyBorder="1" applyAlignment="1">
      <alignment horizontal="center"/>
    </xf>
    <xf numFmtId="164" fontId="66" fillId="2" borderId="0" xfId="10" applyNumberFormat="1" applyFont="1" applyFill="1" applyBorder="1" applyAlignment="1">
      <alignment horizontal="left" vertical="center"/>
    </xf>
    <xf numFmtId="0" fontId="66" fillId="0" borderId="84" xfId="9" applyFont="1" applyBorder="1"/>
    <xf numFmtId="164" fontId="25" fillId="0" borderId="0" xfId="10" applyNumberFormat="1" applyFont="1"/>
    <xf numFmtId="165" fontId="25" fillId="0" borderId="0" xfId="0" applyNumberFormat="1" applyFont="1"/>
    <xf numFmtId="164" fontId="66" fillId="0" borderId="0" xfId="10" applyNumberFormat="1" applyFont="1" applyFill="1" applyBorder="1" applyAlignment="1">
      <alignment horizontal="left" vertical="center"/>
    </xf>
    <xf numFmtId="0" fontId="66" fillId="0" borderId="0" xfId="9" applyFont="1"/>
    <xf numFmtId="164" fontId="66" fillId="20" borderId="0" xfId="10" applyNumberFormat="1" applyFont="1" applyFill="1" applyBorder="1" applyAlignment="1">
      <alignment horizontal="left" vertical="center"/>
    </xf>
    <xf numFmtId="0" fontId="66" fillId="0" borderId="0" xfId="0" applyFont="1"/>
    <xf numFmtId="164" fontId="44" fillId="21" borderId="0" xfId="10" applyNumberFormat="1" applyFont="1" applyFill="1" applyBorder="1" applyAlignment="1">
      <alignment horizontal="left" vertical="center"/>
    </xf>
    <xf numFmtId="0" fontId="66" fillId="21" borderId="0" xfId="19" applyFont="1" applyFill="1"/>
    <xf numFmtId="0" fontId="66" fillId="21" borderId="0" xfId="0" applyFont="1" applyFill="1"/>
    <xf numFmtId="0" fontId="24" fillId="0" borderId="0" xfId="19" applyFont="1" applyAlignment="1">
      <alignment horizontal="center"/>
    </xf>
    <xf numFmtId="0" fontId="67" fillId="0" borderId="7" xfId="0" applyFont="1" applyBorder="1"/>
    <xf numFmtId="0" fontId="25" fillId="0" borderId="0" xfId="0" applyFont="1" applyAlignment="1">
      <alignment horizontal="center"/>
    </xf>
    <xf numFmtId="0" fontId="25" fillId="0" borderId="10" xfId="0" applyFont="1" applyBorder="1"/>
    <xf numFmtId="0" fontId="33" fillId="0" borderId="0" xfId="7" applyFont="1" applyAlignment="1">
      <alignment horizontal="left" vertical="center"/>
    </xf>
    <xf numFmtId="0" fontId="25" fillId="0" borderId="12" xfId="0" applyFont="1" applyBorder="1"/>
    <xf numFmtId="0" fontId="25" fillId="0" borderId="13" xfId="0" applyFont="1" applyBorder="1"/>
    <xf numFmtId="0" fontId="25" fillId="0" borderId="14" xfId="0" applyFont="1" applyBorder="1"/>
    <xf numFmtId="0" fontId="25" fillId="0" borderId="15" xfId="0" applyFont="1" applyBorder="1"/>
    <xf numFmtId="0" fontId="25" fillId="0" borderId="16" xfId="0" applyFont="1" applyBorder="1"/>
    <xf numFmtId="0" fontId="25" fillId="0" borderId="17" xfId="0" applyFont="1" applyBorder="1"/>
    <xf numFmtId="0" fontId="25" fillId="0" borderId="18" xfId="0" applyFont="1" applyBorder="1"/>
    <xf numFmtId="0" fontId="25" fillId="0" borderId="19" xfId="0" applyFont="1" applyBorder="1"/>
    <xf numFmtId="0" fontId="68" fillId="0" borderId="0" xfId="25" applyFont="1"/>
    <xf numFmtId="0" fontId="25" fillId="0" borderId="24" xfId="0" applyFont="1" applyBorder="1"/>
    <xf numFmtId="164" fontId="44" fillId="20" borderId="0" xfId="10" applyNumberFormat="1" applyFont="1" applyFill="1" applyBorder="1" applyAlignment="1">
      <alignment horizontal="left" vertical="center"/>
    </xf>
    <xf numFmtId="0" fontId="69" fillId="3" borderId="0" xfId="6" applyFont="1" applyFill="1"/>
    <xf numFmtId="0" fontId="33" fillId="9" borderId="0" xfId="7" applyFont="1" applyFill="1" applyAlignment="1">
      <alignment horizontal="centerContinuous" vertical="center"/>
    </xf>
    <xf numFmtId="0" fontId="73" fillId="23" borderId="0" xfId="0" applyFont="1" applyFill="1" applyAlignment="1">
      <alignment horizontal="center"/>
    </xf>
    <xf numFmtId="0" fontId="74" fillId="0" borderId="0" xfId="0" applyFont="1"/>
    <xf numFmtId="0" fontId="74"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74" fillId="0" borderId="0" xfId="0" applyFont="1" applyAlignment="1">
      <alignment horizontal="left"/>
    </xf>
    <xf numFmtId="0" fontId="74" fillId="0" borderId="0" xfId="0" applyFont="1" applyAlignment="1">
      <alignment horizontal="left" vertical="center"/>
    </xf>
    <xf numFmtId="0" fontId="42" fillId="0" borderId="0" xfId="0" applyFont="1"/>
    <xf numFmtId="0" fontId="75" fillId="0" borderId="0" xfId="0" applyFont="1"/>
    <xf numFmtId="0" fontId="42" fillId="0" borderId="0" xfId="0" applyFont="1" applyAlignment="1">
      <alignment horizontal="left" vertical="center"/>
    </xf>
    <xf numFmtId="0" fontId="0" fillId="0" borderId="0" xfId="0" applyAlignment="1">
      <alignment horizontal="left" vertical="center"/>
    </xf>
    <xf numFmtId="0" fontId="75" fillId="0" borderId="0" xfId="0" applyFont="1" applyAlignment="1">
      <alignment horizontal="left" vertical="center"/>
    </xf>
    <xf numFmtId="0" fontId="33" fillId="0" borderId="0" xfId="25" applyFont="1" applyAlignment="1">
      <alignment horizontal="right"/>
    </xf>
    <xf numFmtId="9" fontId="25" fillId="0" borderId="0" xfId="0" applyNumberFormat="1" applyFont="1" applyAlignment="1">
      <alignment horizontal="center"/>
    </xf>
    <xf numFmtId="0" fontId="27" fillId="0" borderId="0" xfId="25" applyFont="1"/>
    <xf numFmtId="0" fontId="24" fillId="0" borderId="50" xfId="0" applyFont="1" applyBorder="1"/>
    <xf numFmtId="0" fontId="24" fillId="0" borderId="50" xfId="0" applyFont="1" applyBorder="1" applyAlignment="1">
      <alignment horizontal="center"/>
    </xf>
    <xf numFmtId="0" fontId="25" fillId="0" borderId="50" xfId="0" applyFont="1" applyBorder="1"/>
    <xf numFmtId="0" fontId="61" fillId="0" borderId="50" xfId="0" applyFont="1" applyBorder="1" applyAlignment="1">
      <alignment horizontal="center"/>
    </xf>
    <xf numFmtId="0" fontId="17" fillId="0" borderId="0" xfId="0" applyFont="1"/>
    <xf numFmtId="0" fontId="17" fillId="0" borderId="10" xfId="0" applyFont="1" applyBorder="1"/>
    <xf numFmtId="0" fontId="76" fillId="0" borderId="10" xfId="0" applyFont="1" applyBorder="1"/>
    <xf numFmtId="0" fontId="79" fillId="0" borderId="0" xfId="0" applyFont="1"/>
    <xf numFmtId="0" fontId="80" fillId="0" borderId="3" xfId="0" applyFont="1" applyBorder="1"/>
    <xf numFmtId="0" fontId="81" fillId="0" borderId="3" xfId="0" applyFont="1" applyBorder="1"/>
    <xf numFmtId="0" fontId="72" fillId="3" borderId="0" xfId="0" applyFont="1" applyFill="1"/>
    <xf numFmtId="0" fontId="78" fillId="3" borderId="0" xfId="0" applyFont="1" applyFill="1" applyAlignment="1">
      <alignment horizontal="left" indent="4"/>
    </xf>
    <xf numFmtId="0" fontId="77" fillId="3" borderId="0" xfId="0" applyFont="1" applyFill="1"/>
    <xf numFmtId="0" fontId="44" fillId="0" borderId="0" xfId="0" applyFont="1"/>
    <xf numFmtId="170" fontId="24" fillId="0" borderId="0" xfId="0" applyNumberFormat="1" applyFont="1"/>
    <xf numFmtId="0" fontId="25" fillId="0" borderId="0" xfId="0" applyFont="1" applyAlignment="1">
      <alignment horizontal="left"/>
    </xf>
    <xf numFmtId="0" fontId="24" fillId="0" borderId="87" xfId="0" applyFont="1" applyBorder="1" applyAlignment="1">
      <alignment horizontal="center"/>
    </xf>
    <xf numFmtId="0" fontId="44" fillId="0" borderId="0" xfId="0" applyFont="1" applyAlignment="1">
      <alignment horizontal="right"/>
    </xf>
    <xf numFmtId="0" fontId="25" fillId="0" borderId="87" xfId="0" applyFont="1" applyBorder="1" applyAlignment="1">
      <alignment horizontal="center"/>
    </xf>
    <xf numFmtId="8" fontId="82" fillId="0" borderId="87" xfId="0" applyNumberFormat="1" applyFont="1" applyBorder="1" applyAlignment="1">
      <alignment horizontal="center"/>
    </xf>
    <xf numFmtId="0" fontId="23" fillId="0" borderId="0" xfId="0" applyFont="1"/>
    <xf numFmtId="0" fontId="85" fillId="0" borderId="0" xfId="0" applyFont="1"/>
    <xf numFmtId="0" fontId="86" fillId="0" borderId="0" xfId="0" applyFont="1"/>
    <xf numFmtId="0" fontId="83" fillId="3" borderId="3" xfId="0" applyFont="1" applyFill="1" applyBorder="1"/>
    <xf numFmtId="0" fontId="7" fillId="3" borderId="3" xfId="0" applyFont="1" applyFill="1" applyBorder="1"/>
    <xf numFmtId="0" fontId="1" fillId="0" borderId="0" xfId="27" applyAlignment="1">
      <alignment horizontal="center"/>
    </xf>
    <xf numFmtId="0" fontId="1" fillId="0" borderId="0" xfId="27"/>
    <xf numFmtId="0" fontId="74" fillId="0" borderId="0" xfId="27" applyFont="1" applyAlignment="1">
      <alignment horizontal="center"/>
    </xf>
    <xf numFmtId="0" fontId="74" fillId="0" borderId="0" xfId="27" applyFont="1"/>
    <xf numFmtId="0" fontId="1" fillId="0" borderId="0" xfId="27" applyAlignment="1">
      <alignment horizontal="left"/>
    </xf>
    <xf numFmtId="0" fontId="74" fillId="0" borderId="0" xfId="27" applyFont="1" applyAlignment="1">
      <alignment horizontal="left"/>
    </xf>
    <xf numFmtId="0" fontId="42" fillId="0" borderId="0" xfId="27" applyFont="1" applyAlignment="1">
      <alignment horizontal="center"/>
    </xf>
    <xf numFmtId="0" fontId="73" fillId="23" borderId="0" xfId="27" applyFont="1" applyFill="1" applyAlignment="1">
      <alignment horizontal="center"/>
    </xf>
    <xf numFmtId="0" fontId="1" fillId="0" borderId="88" xfId="27" applyBorder="1"/>
    <xf numFmtId="0" fontId="1" fillId="0" borderId="0" xfId="27" quotePrefix="1"/>
    <xf numFmtId="0" fontId="1" fillId="0" borderId="10" xfId="27" applyBorder="1"/>
    <xf numFmtId="0" fontId="74" fillId="0" borderId="10" xfId="27" applyFont="1" applyBorder="1"/>
    <xf numFmtId="0" fontId="24" fillId="0" borderId="87" xfId="0" applyFont="1" applyBorder="1"/>
    <xf numFmtId="0" fontId="25" fillId="0" borderId="87" xfId="0" applyFont="1" applyBorder="1"/>
    <xf numFmtId="0" fontId="30" fillId="3" borderId="87" xfId="0" applyFont="1" applyFill="1" applyBorder="1"/>
    <xf numFmtId="164" fontId="30" fillId="3" borderId="87" xfId="10" applyNumberFormat="1" applyFont="1" applyFill="1" applyBorder="1" applyAlignment="1">
      <alignment horizontal="left" vertical="center"/>
    </xf>
    <xf numFmtId="164" fontId="25" fillId="20" borderId="87" xfId="0" applyNumberFormat="1" applyFont="1" applyFill="1" applyBorder="1"/>
    <xf numFmtId="164" fontId="25" fillId="0" borderId="87" xfId="0" applyNumberFormat="1" applyFont="1" applyBorder="1"/>
    <xf numFmtId="3" fontId="25" fillId="20" borderId="87" xfId="0" applyNumberFormat="1" applyFont="1" applyFill="1" applyBorder="1"/>
    <xf numFmtId="3" fontId="25" fillId="0" borderId="87" xfId="0" applyNumberFormat="1" applyFont="1" applyBorder="1"/>
    <xf numFmtId="4" fontId="27" fillId="2" borderId="9" xfId="24" applyNumberFormat="1" applyFont="1" applyFill="1" applyBorder="1" applyAlignment="1">
      <alignment horizontal="center"/>
    </xf>
    <xf numFmtId="164" fontId="30" fillId="3" borderId="0" xfId="10" applyNumberFormat="1" applyFont="1" applyFill="1"/>
    <xf numFmtId="165" fontId="30" fillId="3" borderId="0" xfId="0" applyNumberFormat="1" applyFont="1" applyFill="1"/>
    <xf numFmtId="0" fontId="25" fillId="2" borderId="87" xfId="0" applyFont="1" applyFill="1" applyBorder="1"/>
    <xf numFmtId="0" fontId="25" fillId="0" borderId="0" xfId="0" applyFont="1" applyAlignment="1">
      <alignment horizontal="right"/>
    </xf>
    <xf numFmtId="0" fontId="91" fillId="0" borderId="0" xfId="0" applyFont="1"/>
    <xf numFmtId="0" fontId="93" fillId="0" borderId="0" xfId="0" applyFont="1"/>
    <xf numFmtId="0" fontId="93" fillId="0" borderId="0" xfId="0" applyFont="1" applyAlignment="1">
      <alignment horizontal="center"/>
    </xf>
    <xf numFmtId="0" fontId="93" fillId="0" borderId="0" xfId="0" applyFont="1" applyAlignment="1">
      <alignment horizontal="right"/>
    </xf>
    <xf numFmtId="0" fontId="94" fillId="0" borderId="0" xfId="0" applyFont="1"/>
    <xf numFmtId="3" fontId="94" fillId="0" borderId="0" xfId="0" applyNumberFormat="1" applyFont="1"/>
    <xf numFmtId="4" fontId="93" fillId="25" borderId="92" xfId="0" applyNumberFormat="1" applyFont="1" applyFill="1" applyBorder="1"/>
    <xf numFmtId="3" fontId="94" fillId="2" borderId="0" xfId="0" applyNumberFormat="1" applyFont="1" applyFill="1"/>
    <xf numFmtId="3" fontId="93" fillId="0" borderId="0" xfId="0" applyNumberFormat="1" applyFont="1"/>
    <xf numFmtId="3" fontId="93" fillId="0" borderId="10" xfId="0" applyNumberFormat="1" applyFont="1" applyBorder="1"/>
    <xf numFmtId="3" fontId="93" fillId="0" borderId="93" xfId="0" applyNumberFormat="1" applyFont="1" applyBorder="1"/>
    <xf numFmtId="0" fontId="95" fillId="0" borderId="0" xfId="0" applyFont="1"/>
    <xf numFmtId="0" fontId="96" fillId="0" borderId="0" xfId="0" applyFont="1"/>
    <xf numFmtId="0" fontId="91" fillId="0" borderId="0" xfId="0" applyFont="1" applyAlignment="1">
      <alignment horizontal="center"/>
    </xf>
    <xf numFmtId="3" fontId="91" fillId="14" borderId="78" xfId="0" applyNumberFormat="1" applyFont="1" applyFill="1" applyBorder="1" applyAlignment="1">
      <alignment horizontal="center"/>
    </xf>
    <xf numFmtId="0" fontId="93" fillId="13" borderId="78" xfId="0" applyFont="1" applyFill="1" applyBorder="1" applyAlignment="1">
      <alignment horizontal="center"/>
    </xf>
    <xf numFmtId="3" fontId="93" fillId="13" borderId="78" xfId="0" applyNumberFormat="1" applyFont="1" applyFill="1" applyBorder="1" applyAlignment="1">
      <alignment horizontal="center"/>
    </xf>
    <xf numFmtId="3" fontId="93" fillId="2" borderId="78" xfId="0" applyNumberFormat="1" applyFont="1" applyFill="1" applyBorder="1" applyAlignment="1">
      <alignment horizontal="center"/>
    </xf>
    <xf numFmtId="3" fontId="93" fillId="2" borderId="78" xfId="0" applyNumberFormat="1" applyFont="1" applyFill="1" applyBorder="1"/>
    <xf numFmtId="0" fontId="42" fillId="0" borderId="0" xfId="27" applyFont="1"/>
    <xf numFmtId="0" fontId="99" fillId="0" borderId="0" xfId="27" applyFont="1"/>
    <xf numFmtId="0" fontId="99" fillId="0" borderId="0" xfId="27" applyFont="1" applyAlignment="1">
      <alignment horizontal="right"/>
    </xf>
    <xf numFmtId="0" fontId="1" fillId="0" borderId="94" xfId="27" applyBorder="1"/>
    <xf numFmtId="0" fontId="75" fillId="0" borderId="0" xfId="27" applyFont="1"/>
    <xf numFmtId="0" fontId="30" fillId="3" borderId="11" xfId="7" applyFont="1" applyFill="1" applyBorder="1" applyAlignment="1">
      <alignment horizontal="left" vertical="center"/>
    </xf>
    <xf numFmtId="0" fontId="25" fillId="2" borderId="95" xfId="0" applyFont="1" applyFill="1" applyBorder="1"/>
    <xf numFmtId="0" fontId="25" fillId="2" borderId="96" xfId="0" applyFont="1" applyFill="1" applyBorder="1"/>
    <xf numFmtId="0" fontId="27" fillId="0" borderId="95" xfId="0" applyFont="1" applyBorder="1"/>
    <xf numFmtId="0" fontId="27" fillId="0" borderId="96" xfId="0" applyFont="1" applyBorder="1"/>
    <xf numFmtId="0" fontId="7" fillId="3" borderId="0" xfId="0" applyFont="1" applyFill="1"/>
    <xf numFmtId="0" fontId="52" fillId="3" borderId="0" xfId="0" applyFont="1" applyFill="1" applyAlignment="1">
      <alignment horizontal="centerContinuous"/>
    </xf>
    <xf numFmtId="0" fontId="0" fillId="0" borderId="10" xfId="0" applyBorder="1"/>
    <xf numFmtId="0" fontId="98" fillId="0" borderId="0" xfId="0" applyFont="1"/>
    <xf numFmtId="0" fontId="89" fillId="23" borderId="0" xfId="27" applyFont="1" applyFill="1"/>
    <xf numFmtId="0" fontId="76" fillId="0" borderId="97" xfId="0" applyFont="1" applyBorder="1"/>
    <xf numFmtId="0" fontId="76" fillId="0" borderId="98" xfId="0" applyFont="1" applyBorder="1"/>
    <xf numFmtId="0" fontId="17" fillId="0" borderId="87" xfId="0" applyFont="1" applyBorder="1"/>
    <xf numFmtId="0" fontId="17" fillId="24" borderId="87" xfId="0" applyFont="1" applyFill="1" applyBorder="1"/>
    <xf numFmtId="0" fontId="100" fillId="24" borderId="87" xfId="0" applyFont="1" applyFill="1" applyBorder="1"/>
    <xf numFmtId="0" fontId="83" fillId="0" borderId="0" xfId="0" applyFont="1"/>
    <xf numFmtId="0" fontId="7" fillId="3" borderId="98" xfId="0" applyFont="1" applyFill="1" applyBorder="1"/>
    <xf numFmtId="0" fontId="89" fillId="23" borderId="0" xfId="0" applyFont="1" applyFill="1"/>
    <xf numFmtId="0" fontId="87" fillId="0" borderId="0" xfId="0" applyFont="1"/>
    <xf numFmtId="0" fontId="0" fillId="0" borderId="0" xfId="0" quotePrefix="1"/>
    <xf numFmtId="0" fontId="73" fillId="23" borderId="0" xfId="0" applyFont="1" applyFill="1"/>
    <xf numFmtId="0" fontId="1" fillId="0" borderId="0" xfId="0" applyFont="1"/>
    <xf numFmtId="0" fontId="104" fillId="0" borderId="0" xfId="0" applyFont="1" applyAlignment="1">
      <alignment vertical="center"/>
    </xf>
    <xf numFmtId="0" fontId="105" fillId="0" borderId="0" xfId="22" applyFont="1" applyBorder="1" applyAlignment="1">
      <alignment vertical="center"/>
    </xf>
    <xf numFmtId="0" fontId="102" fillId="0" borderId="0" xfId="0" applyFont="1" applyAlignment="1">
      <alignment vertical="center"/>
    </xf>
    <xf numFmtId="0" fontId="0" fillId="0" borderId="0" xfId="0" applyAlignment="1">
      <alignment horizontal="left" vertical="center" indent="1"/>
    </xf>
    <xf numFmtId="0" fontId="103" fillId="0" borderId="0" xfId="0" applyFont="1" applyAlignment="1">
      <alignment vertical="center"/>
    </xf>
    <xf numFmtId="0" fontId="103" fillId="0" borderId="0" xfId="0" applyFont="1"/>
    <xf numFmtId="0" fontId="102" fillId="0" borderId="0" xfId="0" applyFont="1"/>
    <xf numFmtId="0" fontId="102" fillId="0" borderId="0" xfId="0" applyFont="1" applyAlignment="1">
      <alignment horizontal="left" vertical="center" indent="1"/>
    </xf>
    <xf numFmtId="0" fontId="102" fillId="0" borderId="0" xfId="0" applyFont="1" applyAlignment="1">
      <alignment horizontal="left" vertical="center"/>
    </xf>
    <xf numFmtId="0" fontId="30" fillId="23" borderId="3" xfId="0" applyFont="1" applyFill="1" applyBorder="1"/>
    <xf numFmtId="0" fontId="56" fillId="0" borderId="99" xfId="7" applyFont="1" applyBorder="1"/>
    <xf numFmtId="0" fontId="27" fillId="0" borderId="99" xfId="7" applyFont="1" applyBorder="1"/>
    <xf numFmtId="0" fontId="106" fillId="0" borderId="0" xfId="0" applyFont="1"/>
    <xf numFmtId="43" fontId="1" fillId="0" borderId="0" xfId="8" applyFont="1"/>
    <xf numFmtId="0" fontId="74" fillId="0" borderId="7" xfId="0" applyFont="1" applyBorder="1"/>
    <xf numFmtId="0" fontId="0" fillId="0" borderId="7" xfId="0" applyBorder="1"/>
    <xf numFmtId="0" fontId="1" fillId="0" borderId="0" xfId="30"/>
    <xf numFmtId="0" fontId="74" fillId="0" borderId="85" xfId="7" applyFont="1" applyBorder="1" applyAlignment="1">
      <alignment horizontal="center" vertical="center"/>
    </xf>
    <xf numFmtId="0" fontId="74" fillId="0" borderId="101" xfId="30" applyFont="1" applyBorder="1" applyAlignment="1">
      <alignment horizontal="center"/>
    </xf>
    <xf numFmtId="0" fontId="74" fillId="0" borderId="102" xfId="30" applyFont="1" applyBorder="1" applyAlignment="1">
      <alignment horizontal="center"/>
    </xf>
    <xf numFmtId="0" fontId="0" fillId="0" borderId="0" xfId="30" applyFont="1" applyAlignment="1">
      <alignment horizontal="center"/>
    </xf>
    <xf numFmtId="0" fontId="23" fillId="0" borderId="85" xfId="11" applyNumberFormat="1" applyFont="1" applyBorder="1" applyAlignment="1">
      <alignment horizontal="center"/>
    </xf>
    <xf numFmtId="0" fontId="1" fillId="0" borderId="85" xfId="30" applyBorder="1" applyAlignment="1">
      <alignment horizontal="center"/>
    </xf>
    <xf numFmtId="0" fontId="1" fillId="2" borderId="85" xfId="30" applyFill="1" applyBorder="1" applyAlignment="1">
      <alignment horizontal="center"/>
    </xf>
    <xf numFmtId="0" fontId="0" fillId="0" borderId="103" xfId="12" applyNumberFormat="1" applyFont="1" applyBorder="1" applyAlignment="1">
      <alignment horizontal="center"/>
    </xf>
    <xf numFmtId="0" fontId="0" fillId="0" borderId="104" xfId="12" applyNumberFormat="1" applyFont="1" applyBorder="1" applyAlignment="1">
      <alignment horizontal="center"/>
    </xf>
    <xf numFmtId="0" fontId="0" fillId="0" borderId="0" xfId="12" applyNumberFormat="1" applyFont="1" applyAlignment="1">
      <alignment horizontal="center"/>
    </xf>
    <xf numFmtId="0" fontId="0" fillId="0" borderId="105" xfId="12" applyNumberFormat="1" applyFont="1" applyBorder="1" applyAlignment="1">
      <alignment horizontal="center"/>
    </xf>
    <xf numFmtId="0" fontId="0" fillId="0" borderId="102" xfId="12" applyNumberFormat="1" applyFont="1" applyBorder="1" applyAlignment="1">
      <alignment horizontal="center"/>
    </xf>
    <xf numFmtId="0" fontId="0" fillId="0" borderId="101" xfId="12" applyNumberFormat="1" applyFont="1" applyBorder="1" applyAlignment="1">
      <alignment horizontal="center"/>
    </xf>
    <xf numFmtId="0" fontId="0" fillId="0" borderId="106" xfId="12" applyNumberFormat="1" applyFont="1" applyBorder="1" applyAlignment="1">
      <alignment horizontal="center"/>
    </xf>
    <xf numFmtId="0" fontId="0" fillId="0" borderId="107" xfId="12" applyNumberFormat="1" applyFont="1" applyBorder="1" applyAlignment="1">
      <alignment horizontal="center"/>
    </xf>
    <xf numFmtId="0" fontId="25" fillId="0" borderId="108" xfId="0" applyFont="1" applyBorder="1"/>
    <xf numFmtId="0" fontId="25" fillId="0" borderId="109" xfId="0" applyFont="1" applyBorder="1"/>
    <xf numFmtId="0" fontId="25" fillId="0" borderId="110" xfId="0" applyFont="1" applyBorder="1"/>
    <xf numFmtId="0" fontId="25" fillId="0" borderId="111" xfId="0" applyFont="1" applyBorder="1"/>
    <xf numFmtId="0" fontId="24" fillId="0" borderId="0" xfId="0" applyFont="1" applyAlignment="1">
      <alignment horizontal="centerContinuous"/>
    </xf>
    <xf numFmtId="0" fontId="25" fillId="0" borderId="0" xfId="0" applyFont="1" applyAlignment="1">
      <alignment horizontal="centerContinuous"/>
    </xf>
    <xf numFmtId="0" fontId="25" fillId="0" borderId="112" xfId="0" applyFont="1" applyBorder="1"/>
    <xf numFmtId="0" fontId="24" fillId="0" borderId="114" xfId="0" applyFont="1" applyBorder="1"/>
    <xf numFmtId="3" fontId="25" fillId="0" borderId="115" xfId="0" applyNumberFormat="1" applyFont="1" applyBorder="1"/>
    <xf numFmtId="0" fontId="25" fillId="0" borderId="116" xfId="0" applyFont="1" applyBorder="1" applyAlignment="1">
      <alignment horizontal="left" indent="4"/>
    </xf>
    <xf numFmtId="0" fontId="25" fillId="0" borderId="117" xfId="0" applyFont="1" applyBorder="1"/>
    <xf numFmtId="0" fontId="25" fillId="0" borderId="118" xfId="0" applyFont="1" applyBorder="1" applyAlignment="1">
      <alignment horizontal="left" indent="4"/>
    </xf>
    <xf numFmtId="164" fontId="25" fillId="0" borderId="119" xfId="0" applyNumberFormat="1" applyFont="1" applyBorder="1"/>
    <xf numFmtId="0" fontId="25" fillId="0" borderId="120" xfId="0" applyFont="1" applyBorder="1" applyAlignment="1">
      <alignment horizontal="left" indent="4"/>
    </xf>
    <xf numFmtId="164" fontId="25" fillId="0" borderId="121" xfId="0" applyNumberFormat="1" applyFont="1" applyBorder="1"/>
    <xf numFmtId="0" fontId="24" fillId="0" borderId="120" xfId="0" applyFont="1" applyBorder="1" applyAlignment="1">
      <alignment horizontal="left"/>
    </xf>
    <xf numFmtId="3" fontId="25" fillId="0" borderId="117" xfId="0" applyNumberFormat="1" applyFont="1" applyBorder="1"/>
    <xf numFmtId="3" fontId="25" fillId="0" borderId="121" xfId="0" applyNumberFormat="1" applyFont="1" applyBorder="1"/>
    <xf numFmtId="0" fontId="25" fillId="0" borderId="122" xfId="0" applyFont="1" applyBorder="1" applyAlignment="1">
      <alignment horizontal="left" indent="4"/>
    </xf>
    <xf numFmtId="164" fontId="25" fillId="0" borderId="123" xfId="0" applyNumberFormat="1" applyFont="1" applyBorder="1"/>
    <xf numFmtId="3" fontId="25" fillId="0" borderId="0" xfId="0" applyNumberFormat="1" applyFont="1"/>
    <xf numFmtId="0" fontId="25" fillId="26" borderId="113" xfId="0" applyFont="1" applyFill="1" applyBorder="1"/>
    <xf numFmtId="3" fontId="25" fillId="26" borderId="113" xfId="0" applyNumberFormat="1" applyFont="1" applyFill="1" applyBorder="1"/>
    <xf numFmtId="0" fontId="25" fillId="26" borderId="0" xfId="0" applyFont="1" applyFill="1"/>
    <xf numFmtId="3" fontId="25" fillId="26" borderId="0" xfId="0" applyNumberFormat="1" applyFont="1" applyFill="1"/>
    <xf numFmtId="0" fontId="25" fillId="0" borderId="124" xfId="0" applyFont="1" applyBorder="1"/>
    <xf numFmtId="3" fontId="25" fillId="0" borderId="124" xfId="0" applyNumberFormat="1" applyFont="1" applyBorder="1"/>
    <xf numFmtId="0" fontId="25" fillId="0" borderId="125" xfId="0" applyFont="1" applyBorder="1"/>
    <xf numFmtId="0" fontId="25" fillId="0" borderId="126" xfId="0" applyFont="1" applyBorder="1"/>
    <xf numFmtId="0" fontId="25" fillId="0" borderId="127" xfId="0" applyFont="1" applyBorder="1"/>
    <xf numFmtId="4" fontId="25" fillId="26" borderId="113" xfId="24" applyNumberFormat="1" applyFont="1" applyFill="1" applyBorder="1"/>
    <xf numFmtId="0" fontId="73" fillId="3" borderId="35" xfId="7" applyFont="1" applyFill="1" applyBorder="1" applyAlignment="1">
      <alignment vertical="center"/>
    </xf>
    <xf numFmtId="0" fontId="73" fillId="3" borderId="0" xfId="7" applyFont="1" applyFill="1" applyAlignment="1">
      <alignment vertical="center"/>
    </xf>
    <xf numFmtId="164" fontId="1" fillId="0" borderId="0" xfId="10" applyNumberFormat="1" applyFont="1"/>
    <xf numFmtId="0" fontId="87" fillId="0" borderId="0" xfId="30" applyFont="1" applyAlignment="1">
      <alignment horizontal="center" vertical="center"/>
    </xf>
    <xf numFmtId="15" fontId="43" fillId="0" borderId="130" xfId="11" applyNumberFormat="1" applyFont="1" applyFill="1" applyBorder="1" applyAlignment="1">
      <alignment horizontal="center"/>
    </xf>
    <xf numFmtId="0" fontId="43" fillId="0" borderId="130" xfId="11" applyNumberFormat="1" applyFont="1" applyFill="1" applyBorder="1" applyAlignment="1">
      <alignment horizontal="center"/>
    </xf>
    <xf numFmtId="164" fontId="43" fillId="0" borderId="130" xfId="11" applyNumberFormat="1" applyFont="1" applyFill="1" applyBorder="1" applyAlignment="1">
      <alignment horizontal="center"/>
    </xf>
    <xf numFmtId="0" fontId="108" fillId="28" borderId="128" xfId="32" applyAlignment="1">
      <alignment horizontal="center"/>
    </xf>
    <xf numFmtId="0" fontId="109" fillId="3" borderId="0" xfId="0" applyFont="1" applyFill="1"/>
    <xf numFmtId="0" fontId="5" fillId="3" borderId="0" xfId="30" applyFont="1" applyFill="1"/>
    <xf numFmtId="0" fontId="74" fillId="0" borderId="128" xfId="31" applyFont="1" applyFill="1"/>
    <xf numFmtId="0" fontId="98" fillId="21" borderId="129" xfId="30" applyFont="1" applyFill="1" applyBorder="1" applyAlignment="1">
      <alignment horizontal="center"/>
    </xf>
    <xf numFmtId="15" fontId="108" fillId="20" borderId="128" xfId="32" applyNumberFormat="1" applyFill="1" applyAlignment="1">
      <alignment horizontal="right"/>
    </xf>
    <xf numFmtId="0" fontId="30" fillId="3" borderId="10" xfId="7" applyFont="1" applyFill="1" applyBorder="1" applyAlignment="1">
      <alignment vertical="center"/>
    </xf>
    <xf numFmtId="0" fontId="30" fillId="29" borderId="113" xfId="0" applyFont="1" applyFill="1" applyBorder="1"/>
    <xf numFmtId="0" fontId="4" fillId="30" borderId="0" xfId="6" applyFill="1"/>
    <xf numFmtId="0" fontId="5" fillId="30" borderId="0" xfId="6" applyFont="1" applyFill="1"/>
    <xf numFmtId="0" fontId="6" fillId="30" borderId="0" xfId="6" applyFont="1" applyFill="1"/>
    <xf numFmtId="0" fontId="30" fillId="30" borderId="0" xfId="6" applyFont="1" applyFill="1"/>
    <xf numFmtId="0" fontId="33" fillId="0" borderId="0" xfId="0" applyFont="1"/>
    <xf numFmtId="0" fontId="33" fillId="0" borderId="0" xfId="0" applyFont="1" applyAlignment="1">
      <alignment horizontal="center"/>
    </xf>
    <xf numFmtId="0" fontId="27" fillId="0" borderId="131" xfId="0" applyFont="1" applyBorder="1"/>
    <xf numFmtId="0" fontId="0" fillId="0" borderId="131" xfId="0" applyBorder="1"/>
    <xf numFmtId="0" fontId="0" fillId="0" borderId="66" xfId="0" applyBorder="1"/>
    <xf numFmtId="0" fontId="0" fillId="0" borderId="132" xfId="0" applyBorder="1"/>
    <xf numFmtId="0" fontId="0" fillId="2" borderId="133" xfId="0" applyFill="1" applyBorder="1"/>
    <xf numFmtId="0" fontId="0" fillId="2" borderId="134" xfId="0" applyFill="1" applyBorder="1"/>
    <xf numFmtId="0" fontId="33" fillId="0" borderId="0" xfId="0" applyFont="1" applyAlignment="1">
      <alignment horizontal="left"/>
    </xf>
    <xf numFmtId="0" fontId="0" fillId="2" borderId="135" xfId="0" applyFill="1" applyBorder="1"/>
    <xf numFmtId="0" fontId="73" fillId="3" borderId="0" xfId="7" applyFont="1" applyFill="1" applyAlignment="1">
      <alignment horizontal="centerContinuous" vertical="center"/>
    </xf>
    <xf numFmtId="0" fontId="110" fillId="0" borderId="3" xfId="0" applyFont="1" applyBorder="1"/>
    <xf numFmtId="0" fontId="17" fillId="0" borderId="0" xfId="6" applyFont="1"/>
    <xf numFmtId="0" fontId="5" fillId="0" borderId="0" xfId="6" applyFont="1"/>
    <xf numFmtId="0" fontId="4" fillId="0" borderId="0" xfId="6" applyAlignment="1">
      <alignment horizontal="center"/>
    </xf>
    <xf numFmtId="0" fontId="111" fillId="3" borderId="0" xfId="6" applyFont="1" applyFill="1" applyAlignment="1">
      <alignment vertical="center"/>
    </xf>
    <xf numFmtId="0" fontId="89" fillId="3" borderId="0" xfId="6" applyFont="1" applyFill="1" applyAlignment="1">
      <alignment vertical="center"/>
    </xf>
    <xf numFmtId="0" fontId="112" fillId="0" borderId="0" xfId="6" applyFont="1" applyAlignment="1">
      <alignment vertical="center"/>
    </xf>
    <xf numFmtId="0" fontId="9" fillId="7" borderId="5" xfId="0" applyFont="1" applyFill="1" applyBorder="1" applyAlignment="1" applyProtection="1">
      <alignment horizontal="center" vertical="center"/>
      <protection locked="0"/>
    </xf>
    <xf numFmtId="0" fontId="25" fillId="0" borderId="136" xfId="0" applyFont="1" applyBorder="1"/>
    <xf numFmtId="0" fontId="24" fillId="0" borderId="138" xfId="0" applyFont="1" applyBorder="1"/>
    <xf numFmtId="0" fontId="24" fillId="0" borderId="100" xfId="0" applyFont="1" applyBorder="1"/>
    <xf numFmtId="0" fontId="24" fillId="0" borderId="139" xfId="0" applyFont="1" applyBorder="1"/>
    <xf numFmtId="0" fontId="25" fillId="0" borderId="140" xfId="0" applyFont="1" applyBorder="1"/>
    <xf numFmtId="0" fontId="25" fillId="0" borderId="141" xfId="0" applyFont="1" applyBorder="1"/>
    <xf numFmtId="15" fontId="25" fillId="0" borderId="141" xfId="0" applyNumberFormat="1" applyFont="1" applyBorder="1"/>
    <xf numFmtId="43" fontId="25" fillId="0" borderId="141" xfId="24" applyFont="1" applyBorder="1"/>
    <xf numFmtId="15" fontId="24" fillId="0" borderId="100" xfId="0" applyNumberFormat="1" applyFont="1" applyBorder="1"/>
    <xf numFmtId="8" fontId="25" fillId="2" borderId="86" xfId="0" applyNumberFormat="1" applyFont="1" applyFill="1" applyBorder="1"/>
    <xf numFmtId="8" fontId="25" fillId="0" borderId="137" xfId="0" applyNumberFormat="1" applyFont="1" applyBorder="1"/>
    <xf numFmtId="8" fontId="25" fillId="0" borderId="142" xfId="0" applyNumberFormat="1" applyFont="1" applyBorder="1"/>
    <xf numFmtId="14" fontId="56" fillId="0" borderId="143" xfId="29" applyNumberFormat="1" applyFont="1" applyBorder="1"/>
    <xf numFmtId="165" fontId="27" fillId="0" borderId="35" xfId="28" applyNumberFormat="1" applyFont="1" applyFill="1" applyBorder="1"/>
    <xf numFmtId="8" fontId="27" fillId="0" borderId="99" xfId="16" applyNumberFormat="1" applyFont="1" applyFill="1" applyBorder="1"/>
    <xf numFmtId="0" fontId="56" fillId="0" borderId="143" xfId="0" applyFont="1" applyBorder="1"/>
    <xf numFmtId="0" fontId="56" fillId="0" borderId="99" xfId="0" applyFont="1" applyBorder="1"/>
    <xf numFmtId="0" fontId="27" fillId="0" borderId="99" xfId="0" applyFont="1" applyBorder="1"/>
    <xf numFmtId="0" fontId="27" fillId="0" borderId="35" xfId="0" applyFont="1" applyBorder="1"/>
    <xf numFmtId="14" fontId="25" fillId="0" borderId="0" xfId="0" applyNumberFormat="1" applyFont="1"/>
    <xf numFmtId="0" fontId="72" fillId="3" borderId="144" xfId="30" applyFont="1" applyFill="1" applyBorder="1" applyAlignment="1">
      <alignment horizontal="center"/>
    </xf>
    <xf numFmtId="15" fontId="43" fillId="0" borderId="145" xfId="11" applyNumberFormat="1" applyFont="1" applyFill="1" applyBorder="1" applyAlignment="1">
      <alignment horizontal="center"/>
    </xf>
    <xf numFmtId="0" fontId="43" fillId="0" borderId="145" xfId="11" applyNumberFormat="1" applyFont="1" applyFill="1" applyBorder="1" applyAlignment="1">
      <alignment horizontal="center"/>
    </xf>
    <xf numFmtId="4" fontId="27" fillId="2" borderId="146" xfId="24" applyNumberFormat="1" applyFont="1" applyFill="1" applyBorder="1" applyAlignment="1">
      <alignment horizontal="center"/>
    </xf>
    <xf numFmtId="164" fontId="24" fillId="8" borderId="138" xfId="10" applyNumberFormat="1" applyFont="1" applyFill="1" applyBorder="1" applyAlignment="1">
      <alignment horizontal="left" vertical="center"/>
    </xf>
    <xf numFmtId="164" fontId="24" fillId="8" borderId="10" xfId="10" applyNumberFormat="1" applyFont="1" applyFill="1" applyBorder="1" applyAlignment="1">
      <alignment horizontal="left" vertical="center"/>
    </xf>
    <xf numFmtId="168" fontId="25" fillId="0" borderId="141" xfId="0" applyNumberFormat="1" applyFont="1" applyBorder="1"/>
    <xf numFmtId="165" fontId="25" fillId="0" borderId="141" xfId="24" applyNumberFormat="1" applyFont="1" applyFill="1" applyBorder="1"/>
    <xf numFmtId="4" fontId="27" fillId="2" borderId="140" xfId="24" applyNumberFormat="1" applyFont="1" applyFill="1" applyBorder="1" applyAlignment="1">
      <alignment horizontal="center"/>
    </xf>
    <xf numFmtId="4" fontId="27" fillId="2" borderId="88" xfId="24" applyNumberFormat="1" applyFont="1" applyFill="1" applyBorder="1" applyAlignment="1">
      <alignment horizontal="center"/>
    </xf>
    <xf numFmtId="171" fontId="25" fillId="2" borderId="87" xfId="0" applyNumberFormat="1" applyFont="1" applyFill="1" applyBorder="1"/>
    <xf numFmtId="43" fontId="25" fillId="2" borderId="87" xfId="24" applyFont="1" applyFill="1" applyBorder="1"/>
    <xf numFmtId="0" fontId="113" fillId="20" borderId="128" xfId="32" applyNumberFormat="1" applyFont="1" applyFill="1" applyAlignment="1">
      <alignment horizontal="right"/>
    </xf>
    <xf numFmtId="2" fontId="43" fillId="20" borderId="130" xfId="11" applyNumberFormat="1" applyFont="1" applyFill="1" applyBorder="1" applyAlignment="1">
      <alignment horizontal="center"/>
    </xf>
    <xf numFmtId="2" fontId="43" fillId="0" borderId="130" xfId="11" applyNumberFormat="1" applyFont="1" applyFill="1" applyBorder="1" applyAlignment="1">
      <alignment horizontal="center"/>
    </xf>
    <xf numFmtId="15" fontId="25" fillId="2" borderId="87" xfId="0" applyNumberFormat="1" applyFont="1" applyFill="1" applyBorder="1"/>
    <xf numFmtId="15" fontId="25" fillId="0" borderId="0" xfId="0" applyNumberFormat="1" applyFont="1"/>
    <xf numFmtId="15" fontId="30" fillId="3" borderId="0" xfId="0" applyNumberFormat="1" applyFont="1" applyFill="1"/>
    <xf numFmtId="15" fontId="0" fillId="0" borderId="0" xfId="0" applyNumberFormat="1"/>
    <xf numFmtId="0" fontId="0" fillId="0" borderId="0" xfId="0" pivotButton="1"/>
    <xf numFmtId="15" fontId="0" fillId="0" borderId="0" xfId="0" applyNumberFormat="1" applyAlignment="1">
      <alignment horizontal="left"/>
    </xf>
    <xf numFmtId="165" fontId="33" fillId="0" borderId="64" xfId="24" applyNumberFormat="1" applyFont="1" applyBorder="1"/>
    <xf numFmtId="165" fontId="33" fillId="0" borderId="69" xfId="24" applyNumberFormat="1" applyFont="1" applyBorder="1"/>
    <xf numFmtId="165" fontId="33" fillId="0" borderId="65" xfId="24" applyNumberFormat="1" applyFont="1" applyBorder="1"/>
    <xf numFmtId="165" fontId="33" fillId="0" borderId="72" xfId="24" applyNumberFormat="1" applyFont="1" applyBorder="1"/>
    <xf numFmtId="165" fontId="33" fillId="0" borderId="65" xfId="24" applyNumberFormat="1" applyFont="1" applyFill="1" applyBorder="1"/>
    <xf numFmtId="165" fontId="33" fillId="0" borderId="73" xfId="24" applyNumberFormat="1" applyFont="1" applyBorder="1"/>
    <xf numFmtId="4" fontId="25" fillId="26" borderId="113" xfId="0" applyNumberFormat="1" applyFont="1" applyFill="1" applyBorder="1" applyAlignment="1">
      <alignment horizontal="right"/>
    </xf>
    <xf numFmtId="0" fontId="0" fillId="7" borderId="0" xfId="0" applyFill="1"/>
    <xf numFmtId="0" fontId="0" fillId="7" borderId="0" xfId="0" applyFill="1" applyAlignment="1">
      <alignment horizontal="center"/>
    </xf>
    <xf numFmtId="0" fontId="35" fillId="0" borderId="138" xfId="0" applyFont="1" applyBorder="1" applyAlignment="1">
      <alignment horizontal="center" vertical="center"/>
    </xf>
    <xf numFmtId="0" fontId="35" fillId="0" borderId="100" xfId="0" applyFont="1" applyBorder="1" applyAlignment="1">
      <alignment horizontal="left" vertical="center"/>
    </xf>
    <xf numFmtId="43" fontId="35" fillId="0" borderId="100" xfId="0" applyNumberFormat="1" applyFont="1" applyBorder="1" applyAlignment="1">
      <alignment horizontal="center" vertical="center"/>
    </xf>
    <xf numFmtId="165" fontId="35" fillId="0" borderId="139" xfId="0" applyNumberFormat="1" applyFont="1" applyBorder="1" applyAlignment="1">
      <alignment horizontal="right" vertical="center"/>
    </xf>
    <xf numFmtId="0" fontId="73" fillId="3" borderId="35" xfId="7" applyFont="1" applyFill="1" applyBorder="1" applyAlignment="1">
      <alignment horizontal="center" vertical="center"/>
    </xf>
    <xf numFmtId="0" fontId="73" fillId="3" borderId="0" xfId="7" applyFont="1" applyFill="1" applyAlignment="1">
      <alignment horizontal="center" vertical="center"/>
    </xf>
    <xf numFmtId="0" fontId="89" fillId="3" borderId="0" xfId="6" applyFont="1" applyFill="1" applyAlignment="1">
      <alignment horizontal="center" vertical="center" wrapText="1"/>
    </xf>
  </cellXfs>
  <cellStyles count="33">
    <cellStyle name="40% - Accent1 2" xfId="18" xr:uid="{733FECFD-691E-4566-9CA9-FDD5A54A3AE4}"/>
    <cellStyle name="60% - Accent4 2" xfId="14" xr:uid="{23276D4A-6D0F-4152-B3F8-CEED118DECE8}"/>
    <cellStyle name="Calculation" xfId="32" builtinId="22"/>
    <cellStyle name="Check Cell 2" xfId="17" xr:uid="{91EC3D6C-E12A-4202-A820-7AD8AD3D59F0}"/>
    <cellStyle name="ColLevel_1" xfId="2" builtinId="2" iLevel="0"/>
    <cellStyle name="ColLevel_2" xfId="4" builtinId="2" iLevel="1"/>
    <cellStyle name="Comma" xfId="24" builtinId="3"/>
    <cellStyle name="Comma 2" xfId="11" xr:uid="{C8A8D610-1082-4BE6-B042-E13E1BDE6DA8}"/>
    <cellStyle name="Comma 2 2" xfId="28" xr:uid="{481DA6CE-CD41-4B57-8E5A-DF0129046F05}"/>
    <cellStyle name="Comma 3" xfId="13" xr:uid="{66726383-2826-4EF1-8F87-C1B720098AD8}"/>
    <cellStyle name="Comma 3 2" xfId="16" xr:uid="{2CD35019-868B-464C-9542-E138D2CB6026}"/>
    <cellStyle name="Comma 4" xfId="8" xr:uid="{B11EFA84-CBFB-4A85-9FDE-2A8B7347AB1A}"/>
    <cellStyle name="Comma 5" xfId="23" xr:uid="{03017C5F-3700-413D-92BC-E368FE9F8D4E}"/>
    <cellStyle name="Currency 2" xfId="15" xr:uid="{6ED31FF7-C502-4358-ABAD-244CAF518825}"/>
    <cellStyle name="Currency 4" xfId="12" xr:uid="{9E55ECD9-E405-4193-B33B-76A6DE75BBCA}"/>
    <cellStyle name="Hyperlink" xfId="25" builtinId="8"/>
    <cellStyle name="Hyperlink 2" xfId="22" xr:uid="{4A3AE16C-BE49-42DF-BDB4-856F42D14411}"/>
    <cellStyle name="Input" xfId="31" builtinId="20"/>
    <cellStyle name="Normal" xfId="0" builtinId="0"/>
    <cellStyle name="Normal 2" xfId="6" xr:uid="{00000000-0005-0000-0000-000001000000}"/>
    <cellStyle name="Normal 2 2" xfId="7" xr:uid="{9C192CE0-5BC6-4217-A07A-A1E2EFA5CDE0}"/>
    <cellStyle name="Normal 3" xfId="19" xr:uid="{501F7B07-4973-4743-9DF2-8E5E908A81A8}"/>
    <cellStyle name="Normal 3 2" xfId="29" xr:uid="{80E3A763-0511-45AF-817A-15C115D45BCE}"/>
    <cellStyle name="Normal 4" xfId="9" xr:uid="{69E42948-6F7F-402F-A565-1FB9A1429163}"/>
    <cellStyle name="Normal 4 2" xfId="30" xr:uid="{F283529D-0AE3-4F18-BD6B-55C0F0876DB3}"/>
    <cellStyle name="Normal 7" xfId="20" xr:uid="{69BECC96-2630-4D49-A835-C1FC5773C632}"/>
    <cellStyle name="Normal 7 2" xfId="21" xr:uid="{6BDE9C2B-516C-4C9F-8C99-6953CCA8D4A3}"/>
    <cellStyle name="Normal 7 2 2" xfId="27" xr:uid="{8FF3C80A-4997-434F-B2D2-B1B490284170}"/>
    <cellStyle name="Percent 3" xfId="10" xr:uid="{8572B22D-BA0B-42C5-BEA0-58B7E3D3022E}"/>
    <cellStyle name="RowLevel_1" xfId="1" builtinId="1" iLevel="0"/>
    <cellStyle name="RowLevel_2" xfId="3" builtinId="1" iLevel="1"/>
    <cellStyle name="RowLevel_3" xfId="5" builtinId="1" iLevel="2"/>
    <cellStyle name="S3" xfId="26" xr:uid="{1F87C1EE-6A5B-426B-93FC-AAB9374E3662}"/>
  </cellStyles>
  <dxfs count="77">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hair">
          <color theme="4"/>
        </left>
        <right style="hair">
          <color theme="4"/>
        </right>
        <top style="hair">
          <color theme="4"/>
        </top>
        <bottom style="hair">
          <color theme="4"/>
        </bottom>
      </border>
    </dxf>
    <dxf>
      <font>
        <b val="0"/>
        <i val="0"/>
        <strike val="0"/>
        <condense val="0"/>
        <extend val="0"/>
        <outline val="0"/>
        <shadow val="0"/>
        <u val="none"/>
        <vertAlign val="baseline"/>
        <sz val="11"/>
        <color auto="1"/>
        <name val="Calibri"/>
        <family val="2"/>
        <scheme val="minor"/>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theme="4"/>
        </left>
        <right style="hair">
          <color theme="4"/>
        </right>
        <top style="hair">
          <color theme="4"/>
        </top>
        <bottom style="hair">
          <color theme="4"/>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hair">
          <color theme="4"/>
        </left>
        <right style="hair">
          <color theme="4"/>
        </right>
        <top style="hair">
          <color theme="4"/>
        </top>
        <bottom style="hair">
          <color theme="4"/>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style="hair">
          <color theme="4"/>
        </left>
        <right style="hair">
          <color theme="4"/>
        </right>
        <top style="hair">
          <color theme="4"/>
        </top>
        <bottom style="hair">
          <color theme="4"/>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hair">
          <color theme="4"/>
        </left>
        <right style="hair">
          <color theme="4"/>
        </right>
        <top style="hair">
          <color theme="4"/>
        </top>
        <bottom style="hair">
          <color theme="4"/>
        </bottom>
        <vertical/>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hair">
          <color theme="4"/>
        </left>
        <right style="hair">
          <color theme="4"/>
        </right>
        <top style="hair">
          <color theme="4"/>
        </top>
        <bottom style="hair">
          <color theme="4"/>
        </bottom>
        <vertical/>
        <horizontal/>
      </border>
    </dxf>
    <dxf>
      <font>
        <b val="0"/>
        <i val="0"/>
        <strike val="0"/>
        <condense val="0"/>
        <extend val="0"/>
        <outline val="0"/>
        <shadow val="0"/>
        <u val="none"/>
        <vertAlign val="baseline"/>
        <sz val="11"/>
        <color auto="1"/>
        <name val="Calibri"/>
        <family val="2"/>
        <scheme val="minor"/>
      </font>
      <numFmt numFmtId="20" formatCode="d\-mmm\-yy"/>
      <fill>
        <patternFill patternType="none">
          <fgColor indexed="64"/>
          <bgColor indexed="65"/>
        </patternFill>
      </fill>
      <alignment horizontal="center" vertical="bottom" textRotation="0" wrapText="0" indent="0" justifyLastLine="0" shrinkToFit="0" readingOrder="0"/>
      <border diagonalUp="0" diagonalDown="0">
        <left style="hair">
          <color theme="4"/>
        </left>
        <right style="hair">
          <color theme="4"/>
        </right>
        <top style="hair">
          <color theme="4"/>
        </top>
        <bottom style="hair">
          <color theme="4"/>
        </bottom>
        <vertical/>
        <horizontal/>
      </border>
    </dxf>
    <dxf>
      <font>
        <b val="0"/>
        <i val="0"/>
        <strike val="0"/>
        <condense val="0"/>
        <extend val="0"/>
        <outline val="0"/>
        <shadow val="0"/>
        <u val="none"/>
        <vertAlign val="baseline"/>
        <sz val="11"/>
        <color auto="1"/>
        <name val="Calibri"/>
        <family val="2"/>
        <scheme val="minor"/>
      </font>
      <numFmt numFmtId="20" formatCode="d\-mmm\-yy"/>
      <fill>
        <patternFill patternType="none">
          <fgColor indexed="64"/>
          <bgColor indexed="65"/>
        </patternFill>
      </fill>
      <alignment horizontal="center" vertical="bottom" textRotation="0" wrapText="0" indent="0" justifyLastLine="0" shrinkToFit="0" readingOrder="0"/>
      <border diagonalUp="0" diagonalDown="0">
        <left style="hair">
          <color theme="4"/>
        </left>
        <right style="hair">
          <color theme="4"/>
        </right>
        <top style="hair">
          <color theme="4"/>
        </top>
        <bottom style="hair">
          <color theme="4"/>
        </bottom>
        <vertical/>
        <horizontal/>
      </border>
    </dxf>
    <dxf>
      <border outline="0">
        <top style="thin">
          <color theme="4" tint="0.39997558519241921"/>
        </top>
        <bottom style="hair">
          <color theme="4"/>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rgb="FF193E64"/>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Segoe UI"/>
        <family val="2"/>
        <scheme val="none"/>
      </font>
      <numFmt numFmtId="0" formatCode="General"/>
    </dxf>
    <dxf>
      <font>
        <b val="0"/>
        <i val="0"/>
        <strike val="0"/>
        <condense val="0"/>
        <extend val="0"/>
        <outline val="0"/>
        <shadow val="0"/>
        <u val="none"/>
        <vertAlign val="baseline"/>
        <sz val="10"/>
        <color auto="1"/>
        <name val="Segoe UI"/>
        <family val="2"/>
        <scheme val="none"/>
      </font>
      <border diagonalUp="0" diagonalDown="0" outline="0">
        <left style="thin">
          <color indexed="64"/>
        </left>
        <right/>
        <top/>
        <bottom/>
      </border>
    </dxf>
    <dxf>
      <font>
        <b val="0"/>
        <i val="0"/>
        <strike val="0"/>
        <condense val="0"/>
        <extend val="0"/>
        <outline val="0"/>
        <shadow val="0"/>
        <u val="none"/>
        <vertAlign val="baseline"/>
        <sz val="10"/>
        <color auto="1"/>
        <name val="Segoe UI"/>
        <family val="2"/>
        <scheme val="none"/>
      </font>
      <numFmt numFmtId="165" formatCode="_(* #,##0_);_(* \(#,##0\);_(* &quot;-&quot;??_);_(@_)"/>
      <fill>
        <patternFill patternType="none">
          <fgColor indexed="64"/>
          <bgColor indexed="65"/>
        </patternFill>
      </fill>
      <border diagonalUp="0" diagonalDown="0" outline="0">
        <left style="thin">
          <color auto="1"/>
        </left>
        <right/>
        <top/>
        <bottom/>
      </border>
    </dxf>
    <dxf>
      <font>
        <b val="0"/>
        <i val="0"/>
        <strike val="0"/>
        <condense val="0"/>
        <extend val="0"/>
        <outline val="0"/>
        <shadow val="0"/>
        <u val="none"/>
        <vertAlign val="baseline"/>
        <sz val="10"/>
        <color auto="1"/>
        <name val="Segoe UI"/>
        <family val="2"/>
        <scheme val="none"/>
      </font>
      <border diagonalUp="0" diagonalDown="0" outline="0">
        <left style="thin">
          <color auto="1"/>
        </left>
        <right style="thin">
          <color auto="1"/>
        </right>
        <top/>
        <bottom/>
      </border>
    </dxf>
    <dxf>
      <font>
        <b val="0"/>
        <i val="0"/>
        <strike val="0"/>
        <condense val="0"/>
        <extend val="0"/>
        <outline val="0"/>
        <shadow val="0"/>
        <u val="none"/>
        <vertAlign val="baseline"/>
        <sz val="10"/>
        <color auto="1"/>
        <name val="Segoe UI"/>
        <family val="2"/>
        <scheme val="none"/>
      </font>
      <numFmt numFmtId="12" formatCode="&quot;$&quot;#,##0.00_);[Red]\(&quot;$&quot;#,##0.00\)"/>
      <fill>
        <patternFill patternType="none">
          <fgColor indexed="64"/>
          <bgColor indexed="65"/>
        </patternFill>
      </fill>
      <border diagonalUp="0" diagonalDown="0" outline="0">
        <left style="thin">
          <color auto="1"/>
        </left>
        <right style="thin">
          <color auto="1"/>
        </right>
        <top/>
        <bottom/>
      </border>
    </dxf>
    <dxf>
      <font>
        <b val="0"/>
        <i val="0"/>
        <strike val="0"/>
        <condense val="0"/>
        <extend val="0"/>
        <outline val="0"/>
        <shadow val="0"/>
        <u val="none"/>
        <vertAlign val="baseline"/>
        <sz val="10"/>
        <color auto="1"/>
        <name val="Segoe UI"/>
        <family val="2"/>
        <scheme val="none"/>
      </font>
      <border diagonalUp="0" diagonalDown="0" outline="0">
        <left style="thin">
          <color auto="1"/>
        </left>
        <right style="thin">
          <color auto="1"/>
        </right>
        <top/>
        <bottom/>
      </border>
    </dxf>
    <dxf>
      <font>
        <b val="0"/>
        <i val="0"/>
        <strike val="0"/>
        <condense val="0"/>
        <extend val="0"/>
        <outline val="0"/>
        <shadow val="0"/>
        <u val="none"/>
        <vertAlign val="baseline"/>
        <sz val="10"/>
        <color auto="1"/>
        <name val="Segoe UI"/>
        <family val="2"/>
        <scheme val="none"/>
      </font>
      <border diagonalUp="0" diagonalDown="0" outline="0">
        <left style="thin">
          <color auto="1"/>
        </left>
        <right style="thin">
          <color auto="1"/>
        </right>
        <top/>
        <bottom/>
      </border>
    </dxf>
    <dxf>
      <font>
        <b val="0"/>
        <i val="0"/>
        <strike val="0"/>
        <condense val="0"/>
        <extend val="0"/>
        <outline val="0"/>
        <shadow val="0"/>
        <u val="none"/>
        <vertAlign val="baseline"/>
        <sz val="10"/>
        <color auto="1"/>
        <name val="Segoe UI"/>
        <family val="2"/>
        <scheme val="none"/>
      </font>
      <border diagonalUp="0" diagonalDown="0" outline="0">
        <left style="thin">
          <color auto="1"/>
        </left>
        <right style="thin">
          <color auto="1"/>
        </right>
        <top/>
        <bottom/>
      </border>
    </dxf>
    <dxf>
      <font>
        <b val="0"/>
        <i val="0"/>
        <strike val="0"/>
        <condense val="0"/>
        <extend val="0"/>
        <outline val="0"/>
        <shadow val="0"/>
        <u val="none"/>
        <vertAlign val="baseline"/>
        <sz val="10"/>
        <color auto="1"/>
        <name val="Segoe UI"/>
        <family val="2"/>
        <scheme val="none"/>
      </font>
      <border diagonalUp="0" diagonalDown="0">
        <left style="thin">
          <color auto="1"/>
        </left>
        <right style="thin">
          <color auto="1"/>
        </right>
        <top/>
        <bottom/>
        <vertical/>
        <horizontal/>
      </border>
    </dxf>
    <dxf>
      <font>
        <b val="0"/>
        <i val="0"/>
        <strike val="0"/>
        <condense val="0"/>
        <extend val="0"/>
        <outline val="0"/>
        <shadow val="0"/>
        <u val="none"/>
        <vertAlign val="baseline"/>
        <sz val="10"/>
        <color rgb="FF000000"/>
        <name val="Segoe UI"/>
        <family val="2"/>
        <scheme val="none"/>
      </font>
      <border diagonalUp="0" diagonalDown="0" outline="0">
        <left style="thin">
          <color auto="1"/>
        </left>
        <right style="thin">
          <color auto="1"/>
        </right>
        <top/>
        <bottom/>
      </border>
    </dxf>
    <dxf>
      <font>
        <b val="0"/>
        <i val="0"/>
        <strike val="0"/>
        <condense val="0"/>
        <extend val="0"/>
        <outline val="0"/>
        <shadow val="0"/>
        <u val="none"/>
        <vertAlign val="baseline"/>
        <sz val="10"/>
        <color rgb="FF000000"/>
        <name val="Segoe UI"/>
        <family val="2"/>
        <scheme val="none"/>
      </font>
      <border diagonalUp="0" diagonalDown="0">
        <left style="thin">
          <color auto="1"/>
        </left>
        <right style="thin">
          <color auto="1"/>
        </right>
        <top/>
        <bottom/>
        <vertical/>
        <horizontal/>
      </border>
    </dxf>
    <dxf>
      <font>
        <b val="0"/>
        <i val="0"/>
        <strike val="0"/>
        <condense val="0"/>
        <extend val="0"/>
        <outline val="0"/>
        <shadow val="0"/>
        <u val="none"/>
        <vertAlign val="baseline"/>
        <sz val="10"/>
        <color rgb="FF000000"/>
        <name val="Segoe UI"/>
        <family val="2"/>
        <scheme val="none"/>
      </font>
      <border diagonalUp="0" diagonalDown="0" outline="0">
        <left/>
        <right style="thin">
          <color auto="1"/>
        </right>
        <top/>
        <bottom/>
      </border>
    </dxf>
    <dxf>
      <font>
        <b val="0"/>
        <i val="0"/>
        <strike val="0"/>
        <condense val="0"/>
        <extend val="0"/>
        <outline val="0"/>
        <shadow val="0"/>
        <u val="none"/>
        <vertAlign val="baseline"/>
        <sz val="10"/>
        <color rgb="FF000000"/>
        <name val="Segoe UI"/>
        <family val="2"/>
        <scheme val="none"/>
      </font>
      <numFmt numFmtId="19" formatCode="m/d/yyyy"/>
      <border diagonalUp="0" diagonalDown="0">
        <left/>
        <right style="thin">
          <color auto="1"/>
        </right>
        <top/>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0"/>
        <color rgb="FF000000"/>
        <name val="Segoe UI"/>
        <family val="2"/>
        <scheme val="none"/>
      </font>
      <alignment horizontal="left" vertical="center" textRotation="0" wrapText="0" indent="0" justifyLastLine="0" shrinkToFit="0" readingOrder="0"/>
      <border diagonalUp="0" diagonalDown="0" outline="0">
        <left style="thin">
          <color indexed="64"/>
        </left>
        <right style="thin">
          <color indexed="64"/>
        </right>
        <top/>
        <bottom/>
      </border>
    </dxf>
    <dxf>
      <numFmt numFmtId="20" formatCode="d\-mmm\-yy"/>
    </dxf>
    <dxf>
      <font>
        <b/>
        <i val="0"/>
        <color theme="0"/>
      </font>
      <fill>
        <patternFill>
          <bgColor theme="4"/>
        </patternFill>
      </fill>
    </dxf>
    <dxf>
      <font>
        <b val="0"/>
        <i val="0"/>
        <color auto="1"/>
      </font>
      <fill>
        <patternFill>
          <bgColor theme="9" tint="0.59996337778862885"/>
        </patternFill>
      </fill>
    </dxf>
    <dxf>
      <font>
        <b val="0"/>
        <i val="0"/>
        <color auto="1"/>
      </font>
      <fill>
        <patternFill>
          <bgColor theme="9" tint="0.59996337778862885"/>
        </patternFill>
      </fill>
    </dxf>
    <dxf>
      <font>
        <b/>
        <i val="0"/>
        <color theme="0"/>
      </font>
      <fill>
        <patternFill>
          <bgColor theme="4"/>
        </patternFill>
      </fill>
    </dxf>
    <dxf>
      <font>
        <b/>
        <i val="0"/>
        <color theme="0"/>
      </font>
      <fill>
        <patternFill>
          <bgColor rgb="FF0070C0"/>
        </patternFill>
      </fill>
    </dxf>
    <dxf>
      <font>
        <b/>
        <i val="0"/>
        <color theme="0"/>
      </font>
      <fill>
        <patternFill>
          <bgColor rgb="FF0070C0"/>
        </patternFill>
      </fill>
    </dxf>
    <dxf>
      <font>
        <b/>
        <i val="0"/>
        <color theme="0"/>
      </font>
      <fill>
        <patternFill>
          <bgColor theme="4"/>
        </patternFill>
      </fill>
    </dxf>
    <dxf>
      <font>
        <b val="0"/>
        <i val="0"/>
        <strike val="0"/>
        <condense val="0"/>
        <extend val="0"/>
        <outline val="0"/>
        <shadow val="0"/>
        <u val="none"/>
        <vertAlign val="baseline"/>
        <sz val="10"/>
        <color auto="1"/>
        <name val="Segoe UI"/>
        <family val="2"/>
        <scheme val="none"/>
      </font>
      <numFmt numFmtId="4" formatCode="#,##0.00"/>
      <fill>
        <patternFill patternType="solid">
          <fgColor indexed="64"/>
          <bgColor theme="0" tint="-4.9989318521683403E-2"/>
        </patternFill>
      </fill>
      <alignment horizontal="center" vertical="bottom" textRotation="0" wrapText="0"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numFmt numFmtId="4" formatCode="#,##0.00"/>
      <fill>
        <patternFill patternType="solid">
          <fgColor indexed="64"/>
          <bgColor theme="0" tint="-4.9989318521683403E-2"/>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numFmt numFmtId="4" formatCode="#,##0.00"/>
      <fill>
        <patternFill patternType="solid">
          <fgColor indexed="64"/>
          <bgColor theme="0" tint="-4.9989318521683403E-2"/>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numFmt numFmtId="165" formatCode="_(* #,##0_);_(* \(#,##0\);_(* &quot;-&quot;??_);_(@_)"/>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numFmt numFmtId="168" formatCode="dd\-m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0"/>
        <color theme="1"/>
        <name val="Segoe UI"/>
        <family val="2"/>
        <scheme val="none"/>
      </font>
      <numFmt numFmtId="164" formatCode="0.0%"/>
      <fill>
        <patternFill patternType="solid">
          <fgColor indexed="64"/>
          <bgColor theme="7" tint="0.79998168889431442"/>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numFmt numFmtId="0" formatCode="General"/>
    </dxf>
    <dxf>
      <font>
        <b val="0"/>
        <i val="0"/>
        <strike val="0"/>
        <condense val="0"/>
        <extend val="0"/>
        <outline val="0"/>
        <shadow val="0"/>
        <u val="none"/>
        <vertAlign val="baseline"/>
        <sz val="10"/>
        <color theme="1"/>
        <name val="Segoe UI"/>
        <family val="2"/>
        <scheme val="none"/>
      </font>
      <numFmt numFmtId="12" formatCode="&quot;$&quot;#,##0.00_);[Red]\(&quot;$&quot;#,##0.0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theme="1"/>
        <name val="Segoe UI"/>
        <family val="2"/>
        <scheme val="none"/>
      </font>
      <numFmt numFmtId="0" formatCode="Genera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Segoe UI"/>
        <family val="2"/>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Segoe UI"/>
        <family val="2"/>
        <scheme val="none"/>
      </font>
      <numFmt numFmtId="20" formatCode="d\-mmm\-yy"/>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Segoe UI"/>
        <family val="2"/>
        <scheme val="none"/>
      </font>
      <numFmt numFmtId="20" formatCode="d\-mmm\-yy"/>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Segoe UI"/>
        <family val="2"/>
        <scheme val="none"/>
      </font>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0"/>
        <color theme="1"/>
        <name val="Segoe UI"/>
        <family val="2"/>
        <scheme val="none"/>
      </font>
      <border diagonalUp="0" diagonalDown="0" outline="0">
        <left style="thin">
          <color indexed="64"/>
        </left>
        <right style="thin">
          <color indexed="64"/>
        </right>
        <top/>
        <bottom/>
      </border>
    </dxf>
    <dxf>
      <font>
        <color rgb="FF006600"/>
      </font>
      <fill>
        <patternFill patternType="gray0625">
          <bgColor theme="9" tint="0.59996337778862885"/>
        </patternFill>
      </fill>
    </dxf>
    <dxf>
      <font>
        <color rgb="FF006600"/>
      </font>
      <fill>
        <patternFill patternType="gray0625">
          <bgColor theme="9" tint="0.59996337778862885"/>
        </patternFill>
      </fill>
    </dxf>
    <dxf>
      <font>
        <color rgb="FF006600"/>
      </font>
      <fill>
        <patternFill patternType="gray0625">
          <bgColor theme="9" tint="0.59996337778862885"/>
        </patternFill>
      </fill>
    </dxf>
    <dxf>
      <font>
        <color rgb="FF006600"/>
      </font>
      <fill>
        <patternFill patternType="gray0625">
          <bgColor theme="9" tint="0.59996337778862885"/>
        </patternFill>
      </fill>
    </dxf>
    <dxf>
      <font>
        <b/>
        <i val="0"/>
        <color theme="7" tint="-0.24994659260841701"/>
      </font>
      <fill>
        <patternFill patternType="gray0625">
          <bgColor theme="7" tint="0.79998168889431442"/>
        </patternFill>
      </fill>
    </dxf>
    <dxf>
      <font>
        <b/>
        <i val="0"/>
        <color theme="7" tint="-0.24994659260841701"/>
      </font>
      <fill>
        <patternFill patternType="gray0625">
          <bgColor theme="7" tint="0.79998168889431442"/>
        </patternFill>
      </fill>
    </dxf>
    <dxf>
      <font>
        <b/>
        <i val="0"/>
        <color theme="7" tint="-0.24994659260841701"/>
      </font>
      <fill>
        <patternFill patternType="gray0625">
          <bgColor theme="7" tint="0.79998168889431442"/>
        </patternFill>
      </fill>
    </dxf>
    <dxf>
      <font>
        <b/>
        <i val="0"/>
        <color theme="7" tint="-0.24994659260841701"/>
      </font>
      <fill>
        <patternFill patternType="gray0625">
          <bgColor theme="7" tint="0.79998168889431442"/>
        </patternFill>
      </fill>
    </dxf>
    <dxf>
      <font>
        <b/>
        <i val="0"/>
        <color rgb="FFFF0000"/>
      </font>
      <fill>
        <patternFill patternType="gray0625">
          <bgColor rgb="FFFFC8C8"/>
        </patternFill>
      </fill>
    </dxf>
    <dxf>
      <font>
        <b/>
        <i val="0"/>
        <color rgb="FFFF0000"/>
      </font>
      <fill>
        <patternFill patternType="gray0625">
          <bgColor rgb="FFFFC8C8"/>
        </patternFill>
      </fill>
    </dxf>
    <dxf>
      <font>
        <b/>
        <i val="0"/>
        <color rgb="FFFF0000"/>
      </font>
      <fill>
        <patternFill patternType="gray0625">
          <bgColor rgb="FFFFC8C8"/>
        </patternFill>
      </fill>
    </dxf>
    <dxf>
      <font>
        <b/>
        <i val="0"/>
        <color rgb="FFFF0000"/>
      </font>
      <fill>
        <patternFill patternType="gray0625">
          <bgColor rgb="FFFFC8C8"/>
        </patternFill>
      </fill>
    </dxf>
    <dxf>
      <font>
        <color theme="0"/>
      </font>
      <fill>
        <patternFill>
          <bgColor theme="1"/>
        </patternFill>
      </fill>
      <border diagonalUp="0" diagonalDown="0">
        <left/>
        <right/>
        <top/>
        <bottom/>
        <vertical/>
        <horizontal/>
      </border>
    </dxf>
    <dxf>
      <font>
        <color theme="0"/>
      </font>
      <fill>
        <patternFill>
          <bgColor theme="1"/>
        </patternFill>
      </fill>
      <border diagonalUp="0" diagonalDown="0">
        <left/>
        <right/>
        <top/>
        <bottom/>
        <vertical/>
        <horizontal/>
      </border>
    </dxf>
  </dxfs>
  <tableStyles count="1" defaultTableStyle="TableStyleMedium2" defaultPivotStyle="PivotStyleLight16">
    <tableStyle name="MySlicer" pivot="0" table="0" count="10" xr9:uid="{00000000-0011-0000-FFFF-FFFF00000000}">
      <tableStyleElement type="wholeTable" dxfId="76"/>
      <tableStyleElement type="headerRow" dxfId="75"/>
    </tableStyle>
  </tableStyles>
  <colors>
    <mruColors>
      <color rgb="FF193E64"/>
      <color rgb="FF06577C"/>
      <color rgb="FF07618A"/>
      <color rgb="FF075A7F"/>
      <color rgb="FF002645"/>
      <color rgb="FF222222"/>
      <color rgb="FFF9FAFD"/>
      <color rgb="FF0000FF"/>
      <color rgb="FFC9C9C9"/>
      <color rgb="FFFF292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microsoft.com/office/2007/relationships/slicerCache" Target="slicerCaches/slicerCache1.xml"/><Relationship Id="rId50" Type="http://schemas.microsoft.com/office/2007/relationships/slicerCache" Target="slicerCaches/slicerCache4.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07/relationships/slicerCache" Target="slicerCaches/slicerCache2.xml"/><Relationship Id="rId56"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901865291910447E-2"/>
          <c:y val="7.181205531158083E-2"/>
          <c:w val="0.94043992596985504"/>
          <c:h val="0.90706675194971897"/>
        </c:manualLayout>
      </c:layout>
      <c:bubbleChart>
        <c:varyColors val="0"/>
        <c:ser>
          <c:idx val="0"/>
          <c:order val="0"/>
          <c:tx>
            <c:v>Top 5 Countries</c:v>
          </c:tx>
          <c:spPr>
            <a:solidFill>
              <a:schemeClr val="accent1">
                <a:alpha val="75000"/>
              </a:schemeClr>
            </a:solidFill>
            <a:ln>
              <a:noFill/>
            </a:ln>
            <a:effectLst>
              <a:outerShdw blurRad="50800" dist="50800" dir="5400000" sx="63000" sy="63000" algn="ctr" rotWithShape="0">
                <a:srgbClr val="000000"/>
              </a:outerShdw>
              <a:softEdge rad="0"/>
            </a:effectLst>
            <a:scene3d>
              <a:camera prst="orthographicFront"/>
              <a:lightRig rig="threePt" dir="t"/>
            </a:scene3d>
            <a:sp3d prstMaterial="softEdge">
              <a:bevelT w="196850"/>
              <a:bevelB w="190500"/>
            </a:sp3d>
          </c:spPr>
          <c:invertIfNegative val="0"/>
          <c:dPt>
            <c:idx val="0"/>
            <c:invertIfNegative val="0"/>
            <c:bubble3D val="0"/>
            <c:spPr>
              <a:solidFill>
                <a:srgbClr val="C00000"/>
              </a:solidFill>
              <a:ln>
                <a:noFill/>
              </a:ln>
              <a:effectLst>
                <a:outerShdw blurRad="50800" dist="50800" dir="5400000" sx="63000" sy="63000" algn="ctr" rotWithShape="0">
                  <a:srgbClr val="000000"/>
                </a:outerShdw>
                <a:softEdge rad="0"/>
              </a:effectLst>
              <a:scene3d>
                <a:camera prst="orthographicFront"/>
                <a:lightRig rig="threePt" dir="t"/>
              </a:scene3d>
              <a:sp3d prstMaterial="softEdge">
                <a:bevelT w="196850"/>
                <a:bevelB w="190500"/>
              </a:sp3d>
            </c:spPr>
            <c:extLst>
              <c:ext xmlns:c16="http://schemas.microsoft.com/office/drawing/2014/chart" uri="{C3380CC4-5D6E-409C-BE32-E72D297353CC}">
                <c16:uniqueId val="{00000001-5E6A-4264-9790-FD6F9F266CD8}"/>
              </c:ext>
            </c:extLst>
          </c:dPt>
          <c:dPt>
            <c:idx val="1"/>
            <c:invertIfNegative val="0"/>
            <c:bubble3D val="0"/>
            <c:spPr>
              <a:solidFill>
                <a:srgbClr val="193E64"/>
              </a:solidFill>
              <a:ln>
                <a:noFill/>
              </a:ln>
              <a:effectLst>
                <a:outerShdw blurRad="50800" dist="50800" dir="5400000" sx="63000" sy="63000" algn="ctr" rotWithShape="0">
                  <a:srgbClr val="000000"/>
                </a:outerShdw>
                <a:softEdge rad="0"/>
              </a:effectLst>
              <a:scene3d>
                <a:camera prst="orthographicFront"/>
                <a:lightRig rig="threePt" dir="t"/>
              </a:scene3d>
              <a:sp3d prstMaterial="softEdge">
                <a:bevelT w="196850"/>
                <a:bevelB w="190500"/>
              </a:sp3d>
            </c:spPr>
            <c:extLst>
              <c:ext xmlns:c16="http://schemas.microsoft.com/office/drawing/2014/chart" uri="{C3380CC4-5D6E-409C-BE32-E72D297353CC}">
                <c16:uniqueId val="{00000003-5E6A-4264-9790-FD6F9F266CD8}"/>
              </c:ext>
            </c:extLst>
          </c:dPt>
          <c:dPt>
            <c:idx val="2"/>
            <c:invertIfNegative val="0"/>
            <c:bubble3D val="0"/>
            <c:spPr>
              <a:solidFill>
                <a:srgbClr val="06577C"/>
              </a:solidFill>
              <a:ln>
                <a:noFill/>
              </a:ln>
              <a:effectLst>
                <a:outerShdw blurRad="50800" dist="50800" dir="5400000" sx="63000" sy="63000" algn="ctr" rotWithShape="0">
                  <a:srgbClr val="000000"/>
                </a:outerShdw>
                <a:softEdge rad="0"/>
              </a:effectLst>
              <a:scene3d>
                <a:camera prst="orthographicFront"/>
                <a:lightRig rig="threePt" dir="t"/>
              </a:scene3d>
              <a:sp3d prstMaterial="softEdge">
                <a:bevelT w="196850"/>
                <a:bevelB w="190500"/>
              </a:sp3d>
            </c:spPr>
            <c:extLst>
              <c:ext xmlns:c16="http://schemas.microsoft.com/office/drawing/2014/chart" uri="{C3380CC4-5D6E-409C-BE32-E72D297353CC}">
                <c16:uniqueId val="{00000005-5E6A-4264-9790-FD6F9F266CD8}"/>
              </c:ext>
            </c:extLst>
          </c:dPt>
          <c:dPt>
            <c:idx val="3"/>
            <c:invertIfNegative val="0"/>
            <c:bubble3D val="0"/>
            <c:spPr>
              <a:solidFill>
                <a:schemeClr val="accent1">
                  <a:lumMod val="50000"/>
                </a:schemeClr>
              </a:solidFill>
              <a:ln>
                <a:noFill/>
              </a:ln>
              <a:effectLst>
                <a:outerShdw blurRad="50800" dist="50800" dir="5400000" sx="63000" sy="63000" algn="ctr" rotWithShape="0">
                  <a:srgbClr val="000000"/>
                </a:outerShdw>
                <a:softEdge rad="0"/>
              </a:effectLst>
              <a:scene3d>
                <a:camera prst="orthographicFront"/>
                <a:lightRig rig="threePt" dir="t"/>
              </a:scene3d>
              <a:sp3d prstMaterial="softEdge">
                <a:bevelT w="196850"/>
                <a:bevelB w="190500"/>
              </a:sp3d>
            </c:spPr>
            <c:extLst>
              <c:ext xmlns:c16="http://schemas.microsoft.com/office/drawing/2014/chart" uri="{C3380CC4-5D6E-409C-BE32-E72D297353CC}">
                <c16:uniqueId val="{00000007-5E6A-4264-9790-FD6F9F266CD8}"/>
              </c:ext>
            </c:extLst>
          </c:dPt>
          <c:dPt>
            <c:idx val="4"/>
            <c:invertIfNegative val="0"/>
            <c:bubble3D val="0"/>
            <c:spPr>
              <a:solidFill>
                <a:srgbClr val="00B050"/>
              </a:solidFill>
              <a:ln>
                <a:noFill/>
              </a:ln>
              <a:effectLst>
                <a:outerShdw blurRad="50800" dist="50800" dir="5400000" sx="63000" sy="63000" algn="ctr" rotWithShape="0">
                  <a:srgbClr val="000000"/>
                </a:outerShdw>
                <a:softEdge rad="0"/>
              </a:effectLst>
              <a:scene3d>
                <a:camera prst="orthographicFront"/>
                <a:lightRig rig="threePt" dir="t"/>
              </a:scene3d>
              <a:sp3d prstMaterial="softEdge">
                <a:bevelT w="196850"/>
                <a:bevelB w="190500"/>
              </a:sp3d>
            </c:spPr>
            <c:extLst>
              <c:ext xmlns:c16="http://schemas.microsoft.com/office/drawing/2014/chart" uri="{C3380CC4-5D6E-409C-BE32-E72D297353CC}">
                <c16:uniqueId val="{00000009-5E6A-4264-9790-FD6F9F266CD8}"/>
              </c:ext>
            </c:extLst>
          </c:dPt>
          <c:dLbls>
            <c:dLbl>
              <c:idx val="0"/>
              <c:tx>
                <c:rich>
                  <a:bodyPr/>
                  <a:lstStyle/>
                  <a:p>
                    <a:fld id="{7715976A-FCB1-41B2-A4F9-E288B60B1E4A}" type="CELLRANGE">
                      <a:rPr lang="en-GH"/>
                      <a:pPr/>
                      <a:t>[CELLRANGE]</a:t>
                    </a:fld>
                    <a:r>
                      <a:rPr lang="en-GH" baseline="0"/>
                      <a:t>, </a:t>
                    </a:r>
                    <a:fld id="{52A6EDAB-D04D-41FE-909E-7BC97959230E}" type="BUBBLESIZE">
                      <a:rPr lang="en-GH" baseline="0"/>
                      <a:pPr/>
                      <a:t>[BUBBLE SIZE]</a:t>
                    </a:fld>
                    <a:endParaRPr lang="en-GH" baseline="0"/>
                  </a:p>
                </c:rich>
              </c:tx>
              <c:dLblPos val="b"/>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E6A-4264-9790-FD6F9F266CD8}"/>
                </c:ext>
              </c:extLst>
            </c:dLbl>
            <c:dLbl>
              <c:idx val="1"/>
              <c:tx>
                <c:rich>
                  <a:bodyPr/>
                  <a:lstStyle/>
                  <a:p>
                    <a:fld id="{F4937A9E-BB75-41C7-B317-88E7B3CC6639}" type="CELLRANGE">
                      <a:rPr lang="en-GH"/>
                      <a:pPr/>
                      <a:t>[CELLRANGE]</a:t>
                    </a:fld>
                    <a:r>
                      <a:rPr lang="en-GH" baseline="0"/>
                      <a:t>, </a:t>
                    </a:r>
                    <a:fld id="{54411E52-51B4-44E6-98E9-94D2E4F9BC89}" type="BUBBLESIZE">
                      <a:rPr lang="en-GH" baseline="0"/>
                      <a:pPr/>
                      <a:t>[BUBBLE SIZE]</a:t>
                    </a:fld>
                    <a:endParaRPr lang="en-GH" baseline="0"/>
                  </a:p>
                </c:rich>
              </c:tx>
              <c:dLblPos val="b"/>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E6A-4264-9790-FD6F9F266CD8}"/>
                </c:ext>
              </c:extLst>
            </c:dLbl>
            <c:dLbl>
              <c:idx val="2"/>
              <c:tx>
                <c:rich>
                  <a:bodyPr/>
                  <a:lstStyle/>
                  <a:p>
                    <a:fld id="{4176873F-CCA6-4454-8135-B08D77CDF2B2}" type="CELLRANGE">
                      <a:rPr lang="en-GH"/>
                      <a:pPr/>
                      <a:t>[CELLRANGE]</a:t>
                    </a:fld>
                    <a:r>
                      <a:rPr lang="en-GH" baseline="0"/>
                      <a:t>, </a:t>
                    </a:r>
                    <a:fld id="{F6303540-1441-4082-A2C9-52DF3F47A7E7}" type="BUBBLESIZE">
                      <a:rPr lang="en-GH" baseline="0"/>
                      <a:pPr/>
                      <a:t>[BUBBLE SIZE]</a:t>
                    </a:fld>
                    <a:endParaRPr lang="en-GH" baseline="0"/>
                  </a:p>
                </c:rich>
              </c:tx>
              <c:dLblPos val="b"/>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E6A-4264-9790-FD6F9F266CD8}"/>
                </c:ext>
              </c:extLst>
            </c:dLbl>
            <c:dLbl>
              <c:idx val="3"/>
              <c:tx>
                <c:rich>
                  <a:bodyPr/>
                  <a:lstStyle/>
                  <a:p>
                    <a:fld id="{CF396CC1-DFF1-4D86-B208-13ADAC7B067C}" type="CELLRANGE">
                      <a:rPr lang="en-GH"/>
                      <a:pPr/>
                      <a:t>[CELLRANGE]</a:t>
                    </a:fld>
                    <a:r>
                      <a:rPr lang="en-GH" baseline="0"/>
                      <a:t>, </a:t>
                    </a:r>
                    <a:fld id="{54715AB9-D1E7-450D-A2FF-5A466E48DD88}" type="BUBBLESIZE">
                      <a:rPr lang="en-GH" baseline="0"/>
                      <a:pPr/>
                      <a:t>[BUBBLE SIZE]</a:t>
                    </a:fld>
                    <a:endParaRPr lang="en-GH" baseline="0"/>
                  </a:p>
                </c:rich>
              </c:tx>
              <c:dLblPos val="b"/>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E6A-4264-9790-FD6F9F266CD8}"/>
                </c:ext>
              </c:extLst>
            </c:dLbl>
            <c:dLbl>
              <c:idx val="4"/>
              <c:tx>
                <c:rich>
                  <a:bodyPr/>
                  <a:lstStyle/>
                  <a:p>
                    <a:fld id="{1F48852F-9076-43F9-9ACE-A493F065B30E}" type="CELLRANGE">
                      <a:rPr lang="en-GH"/>
                      <a:pPr/>
                      <a:t>[CELLRANGE]</a:t>
                    </a:fld>
                    <a:r>
                      <a:rPr lang="en-GH" baseline="0"/>
                      <a:t>, </a:t>
                    </a:r>
                    <a:fld id="{3028C953-D1CC-4655-A342-648B1BD48BC2}" type="BUBBLESIZE">
                      <a:rPr lang="en-GH" baseline="0"/>
                      <a:pPr/>
                      <a:t>[BUBBLE SIZE]</a:t>
                    </a:fld>
                    <a:endParaRPr lang="en-GH" baseline="0"/>
                  </a:p>
                </c:rich>
              </c:tx>
              <c:dLblPos val="b"/>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E6A-4264-9790-FD6F9F266CD8}"/>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
            <c:showLegendKey val="0"/>
            <c:showVal val="0"/>
            <c:showCatName val="0"/>
            <c:showSerName val="0"/>
            <c:showPercent val="0"/>
            <c:showBubbleSize val="1"/>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'Top 5 Countries'!$F$3:$F$7</c:f>
              <c:numCache>
                <c:formatCode>General</c:formatCode>
                <c:ptCount val="5"/>
                <c:pt idx="0">
                  <c:v>1</c:v>
                </c:pt>
                <c:pt idx="1">
                  <c:v>2</c:v>
                </c:pt>
                <c:pt idx="2">
                  <c:v>3</c:v>
                </c:pt>
                <c:pt idx="3">
                  <c:v>4</c:v>
                </c:pt>
                <c:pt idx="4">
                  <c:v>5</c:v>
                </c:pt>
              </c:numCache>
            </c:numRef>
          </c:xVal>
          <c:yVal>
            <c:numRef>
              <c:f>'Top 5 Countries'!$G$3:$G$7</c:f>
              <c:numCache>
                <c:formatCode>General</c:formatCode>
                <c:ptCount val="5"/>
                <c:pt idx="0">
                  <c:v>1</c:v>
                </c:pt>
                <c:pt idx="1">
                  <c:v>2</c:v>
                </c:pt>
                <c:pt idx="2">
                  <c:v>3</c:v>
                </c:pt>
                <c:pt idx="3">
                  <c:v>4</c:v>
                </c:pt>
                <c:pt idx="4">
                  <c:v>5</c:v>
                </c:pt>
              </c:numCache>
            </c:numRef>
          </c:yVal>
          <c:bubbleSize>
            <c:numRef>
              <c:f>'Top 5 Countries'!$E$3:$E$7</c:f>
              <c:numCache>
                <c:formatCode>General</c:formatCode>
                <c:ptCount val="5"/>
                <c:pt idx="0">
                  <c:v>94564</c:v>
                </c:pt>
                <c:pt idx="1">
                  <c:v>120390</c:v>
                </c:pt>
                <c:pt idx="2">
                  <c:v>228256</c:v>
                </c:pt>
                <c:pt idx="3">
                  <c:v>1505677</c:v>
                </c:pt>
                <c:pt idx="4">
                  <c:v>2384385</c:v>
                </c:pt>
              </c:numCache>
            </c:numRef>
          </c:bubbleSize>
          <c:bubble3D val="0"/>
          <c:extLst>
            <c:ext xmlns:c15="http://schemas.microsoft.com/office/drawing/2012/chart" uri="{02D57815-91ED-43cb-92C2-25804820EDAC}">
              <c15:datalabelsRange>
                <c15:f>'Top 5 Countries'!$D$3:$D$7</c15:f>
                <c15:dlblRangeCache>
                  <c:ptCount val="5"/>
                  <c:pt idx="0">
                    <c:v>Argentina</c:v>
                  </c:pt>
                  <c:pt idx="1">
                    <c:v>Kenya</c:v>
                  </c:pt>
                  <c:pt idx="2">
                    <c:v>Australia</c:v>
                  </c:pt>
                  <c:pt idx="3">
                    <c:v>USA</c:v>
                  </c:pt>
                  <c:pt idx="4">
                    <c:v>UAE</c:v>
                  </c:pt>
                </c15:dlblRangeCache>
              </c15:datalabelsRange>
            </c:ext>
            <c:ext xmlns:c16="http://schemas.microsoft.com/office/drawing/2014/chart" uri="{C3380CC4-5D6E-409C-BE32-E72D297353CC}">
              <c16:uniqueId val="{0000000A-5E6A-4264-9790-FD6F9F266CD8}"/>
            </c:ext>
          </c:extLst>
        </c:ser>
        <c:dLbls>
          <c:showLegendKey val="0"/>
          <c:showVal val="0"/>
          <c:showCatName val="0"/>
          <c:showSerName val="0"/>
          <c:showPercent val="0"/>
          <c:showBubbleSize val="0"/>
        </c:dLbls>
        <c:bubbleScale val="100"/>
        <c:showNegBubbles val="0"/>
        <c:axId val="1848516288"/>
        <c:axId val="1848516704"/>
      </c:bubbleChart>
      <c:valAx>
        <c:axId val="1848516288"/>
        <c:scaling>
          <c:orientation val="minMax"/>
        </c:scaling>
        <c:delete val="1"/>
        <c:axPos val="b"/>
        <c:numFmt formatCode="General" sourceLinked="1"/>
        <c:majorTickMark val="none"/>
        <c:minorTickMark val="none"/>
        <c:tickLblPos val="nextTo"/>
        <c:crossAx val="1848516704"/>
        <c:crosses val="autoZero"/>
        <c:crossBetween val="midCat"/>
      </c:valAx>
      <c:valAx>
        <c:axId val="1848516704"/>
        <c:scaling>
          <c:orientation val="minMax"/>
        </c:scaling>
        <c:delete val="1"/>
        <c:axPos val="l"/>
        <c:numFmt formatCode="General" sourceLinked="1"/>
        <c:majorTickMark val="none"/>
        <c:minorTickMark val="none"/>
        <c:tickLblPos val="nextTo"/>
        <c:crossAx val="1848516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[Veronica Mmabun Kazussah-Excelforwork.xlsx]Top 3 Managers!Top 3 Managers</c:name>
    <c:fmtId val="4"/>
  </c:pivotSource>
  <c:chart>
    <c:autoTitleDeleted val="1"/>
    <c:pivotFmts>
      <c:pivotFmt>
        <c:idx val="0"/>
        <c:spPr>
          <a:solidFill>
            <a:schemeClr val="accent1"/>
          </a:solidFill>
          <a:ln w="19050">
            <a:solidFill>
              <a:schemeClr val="lt1"/>
            </a:solidFill>
          </a:ln>
          <a:effectLst/>
          <a:scene3d>
            <a:camera prst="orthographicFront"/>
            <a:lightRig rig="threePt" dir="t"/>
          </a:scene3d>
          <a:sp3d>
            <a:bevelT/>
          </a:sp3d>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a:sp3d>
        </c:spPr>
      </c:pivotFmt>
      <c:pivotFmt>
        <c:idx val="2"/>
        <c:spPr>
          <a:solidFill>
            <a:schemeClr val="accent1"/>
          </a:solidFill>
          <a:ln w="19050">
            <a:solidFill>
              <a:schemeClr val="lt1"/>
            </a:solidFill>
          </a:ln>
          <a:effectLst/>
          <a:scene3d>
            <a:camera prst="orthographicFront"/>
            <a:lightRig rig="threePt" dir="t"/>
          </a:scene3d>
          <a:sp3d>
            <a:bevelT/>
          </a:sp3d>
        </c:spPr>
      </c:pivotFmt>
      <c:pivotFmt>
        <c:idx val="3"/>
        <c:spPr>
          <a:solidFill>
            <a:schemeClr val="accent1"/>
          </a:solidFill>
          <a:ln w="19050">
            <a:solidFill>
              <a:schemeClr val="lt1"/>
            </a:solidFill>
          </a:ln>
          <a:effectLst/>
          <a:scene3d>
            <a:camera prst="orthographicFront"/>
            <a:lightRig rig="threePt" dir="t"/>
          </a:scene3d>
          <a:sp3d>
            <a:bevelT/>
          </a:sp3d>
        </c:spPr>
      </c:pivotFmt>
      <c:pivotFmt>
        <c:idx val="4"/>
        <c:spPr>
          <a:solidFill>
            <a:schemeClr val="accent1"/>
          </a:solidFill>
          <a:ln w="19050">
            <a:solidFill>
              <a:schemeClr val="lt1"/>
            </a:solidFill>
          </a:ln>
          <a:effectLst/>
          <a:scene3d>
            <a:camera prst="orthographicFront"/>
            <a:lightRig rig="threePt" dir="t"/>
          </a:scene3d>
          <a:sp3d>
            <a:bevelT/>
          </a:sp3d>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a:scene3d>
            <a:camera prst="orthographicFront"/>
            <a:lightRig rig="threePt" dir="t"/>
          </a:scene3d>
          <a:sp3d>
            <a:bevelT/>
          </a:sp3d>
        </c:spPr>
      </c:pivotFmt>
      <c:pivotFmt>
        <c:idx val="6"/>
        <c:spPr>
          <a:solidFill>
            <a:schemeClr val="accent1"/>
          </a:solidFill>
          <a:ln w="19050">
            <a:solidFill>
              <a:schemeClr val="lt1"/>
            </a:solidFill>
          </a:ln>
          <a:effectLst/>
          <a:scene3d>
            <a:camera prst="orthographicFront"/>
            <a:lightRig rig="threePt" dir="t"/>
          </a:scene3d>
          <a:sp3d>
            <a:bevelT/>
          </a:sp3d>
        </c:spPr>
      </c:pivotFmt>
      <c:pivotFmt>
        <c:idx val="7"/>
        <c:spPr>
          <a:solidFill>
            <a:schemeClr val="accent1"/>
          </a:solidFill>
          <a:ln w="19050">
            <a:solidFill>
              <a:schemeClr val="lt1"/>
            </a:solidFill>
          </a:ln>
          <a:effectLst/>
          <a:scene3d>
            <a:camera prst="orthographicFront"/>
            <a:lightRig rig="threePt" dir="t"/>
          </a:scene3d>
          <a:sp3d>
            <a:bevelT/>
          </a:sp3d>
        </c:spPr>
      </c:pivotFmt>
      <c:pivotFmt>
        <c:idx val="8"/>
        <c:spPr>
          <a:solidFill>
            <a:schemeClr val="accent1"/>
          </a:solidFill>
          <a:ln w="19050">
            <a:solidFill>
              <a:schemeClr val="lt1"/>
            </a:solidFill>
          </a:ln>
          <a:effectLst/>
          <a:scene3d>
            <a:camera prst="orthographicFront"/>
            <a:lightRig rig="threePt" dir="t"/>
          </a:scene3d>
          <a:sp3d>
            <a:bevelT/>
          </a:sp3d>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a:scene3d>
            <a:camera prst="orthographicFront"/>
            <a:lightRig rig="threePt" dir="t"/>
          </a:scene3d>
          <a:sp3d>
            <a:bevelT/>
          </a:sp3d>
        </c:spPr>
      </c:pivotFmt>
      <c:pivotFmt>
        <c:idx val="10"/>
        <c:spPr>
          <a:solidFill>
            <a:schemeClr val="accent1"/>
          </a:solidFill>
          <a:ln w="19050">
            <a:solidFill>
              <a:schemeClr val="lt1"/>
            </a:solidFill>
          </a:ln>
          <a:effectLst/>
          <a:scene3d>
            <a:camera prst="orthographicFront"/>
            <a:lightRig rig="threePt" dir="t"/>
          </a:scene3d>
          <a:sp3d>
            <a:bevelT/>
          </a:sp3d>
        </c:spPr>
      </c:pivotFmt>
      <c:pivotFmt>
        <c:idx val="11"/>
        <c:spPr>
          <a:solidFill>
            <a:schemeClr val="accent1"/>
          </a:solidFill>
          <a:ln w="19050">
            <a:solidFill>
              <a:schemeClr val="lt1"/>
            </a:solidFill>
          </a:ln>
          <a:effectLst/>
          <a:scene3d>
            <a:camera prst="orthographicFront"/>
            <a:lightRig rig="threePt" dir="t"/>
          </a:scene3d>
          <a:sp3d>
            <a:bevelT/>
          </a:sp3d>
        </c:spPr>
      </c:pivotFmt>
    </c:pivotFmts>
    <c:plotArea>
      <c:layout/>
      <c:doughnutChart>
        <c:varyColors val="1"/>
        <c:ser>
          <c:idx val="0"/>
          <c:order val="0"/>
          <c:tx>
            <c:strRef>
              <c:f>'Top 3 Managers'!$B$4</c:f>
              <c:strCache>
                <c:ptCount val="1"/>
                <c:pt idx="0">
                  <c:v>Total</c:v>
                </c:pt>
              </c:strCache>
            </c:strRef>
          </c:tx>
          <c:spPr>
            <a:scene3d>
              <a:camera prst="orthographicFront"/>
              <a:lightRig rig="threePt" dir="t"/>
            </a:scene3d>
            <a:sp3d>
              <a:bevelT/>
            </a:sp3d>
          </c:spPr>
          <c:dPt>
            <c:idx val="0"/>
            <c:bubble3D val="0"/>
            <c:spPr>
              <a:solidFill>
                <a:schemeClr val="accent1"/>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0BF5-4FB8-B786-8D5B87472E10}"/>
              </c:ext>
            </c:extLst>
          </c:dPt>
          <c:dPt>
            <c:idx val="1"/>
            <c:bubble3D val="0"/>
            <c:spPr>
              <a:solidFill>
                <a:schemeClr val="accent2"/>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0BF5-4FB8-B786-8D5B87472E10}"/>
              </c:ext>
            </c:extLst>
          </c:dPt>
          <c:dPt>
            <c:idx val="2"/>
            <c:bubble3D val="0"/>
            <c:spPr>
              <a:solidFill>
                <a:schemeClr val="accent3"/>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5-0BF5-4FB8-B786-8D5B87472E10}"/>
              </c:ext>
            </c:extLst>
          </c:dPt>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3 Managers'!$A$5:$A$8</c:f>
              <c:strCache>
                <c:ptCount val="3"/>
                <c:pt idx="0">
                  <c:v>Ebenezer Darko</c:v>
                </c:pt>
                <c:pt idx="1">
                  <c:v>Francisca Obeng</c:v>
                </c:pt>
                <c:pt idx="2">
                  <c:v>Patricia Narh</c:v>
                </c:pt>
              </c:strCache>
            </c:strRef>
          </c:cat>
          <c:val>
            <c:numRef>
              <c:f>'Top 3 Managers'!$B$5:$B$8</c:f>
              <c:numCache>
                <c:formatCode>General</c:formatCode>
                <c:ptCount val="3"/>
                <c:pt idx="0">
                  <c:v>531511</c:v>
                </c:pt>
                <c:pt idx="1">
                  <c:v>487245</c:v>
                </c:pt>
                <c:pt idx="2">
                  <c:v>471713</c:v>
                </c:pt>
              </c:numCache>
            </c:numRef>
          </c:val>
          <c:extLst>
            <c:ext xmlns:c16="http://schemas.microsoft.com/office/drawing/2014/chart" uri="{C3380CC4-5D6E-409C-BE32-E72D297353CC}">
              <c16:uniqueId val="{00000006-0BF5-4FB8-B786-8D5B87472E1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[Veronica Mmabun Kazussah-Excelforwork.xlsx]Fees by Cargo!Cargo Analysis</c:name>
    <c:fmtId val="4"/>
  </c:pivotSource>
  <c:chart>
    <c:autoTitleDeleted val="1"/>
    <c:pivotFmts>
      <c:pivotFmt>
        <c:idx val="0"/>
        <c:spPr>
          <a:blipFill>
            <a:blip xmlns:r="http://schemas.openxmlformats.org/officeDocument/2006/relationships" r:embed="rId3"/>
            <a:stretch>
              <a:fillRect/>
            </a:stretch>
          </a:blip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477707006369428E-2"/>
          <c:y val="6.8722486030729071E-2"/>
          <c:w val="0.93772116065109701"/>
          <c:h val="0.81921615573655848"/>
        </c:manualLayout>
      </c:layout>
      <c:barChart>
        <c:barDir val="col"/>
        <c:grouping val="clustered"/>
        <c:varyColors val="0"/>
        <c:ser>
          <c:idx val="0"/>
          <c:order val="0"/>
          <c:tx>
            <c:strRef>
              <c:f>'Fees by Cargo'!$B$3</c:f>
              <c:strCache>
                <c:ptCount val="1"/>
                <c:pt idx="0">
                  <c:v>Total</c:v>
                </c:pt>
              </c:strCache>
            </c:strRef>
          </c:tx>
          <c:spPr>
            <a:blipFill>
              <a:blip xmlns:r="http://schemas.openxmlformats.org/officeDocument/2006/relationships" r:embed="rId3"/>
              <a:stretch>
                <a:fillRect/>
              </a:stretch>
            </a:blip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'Fees by Cargo'!$A$4:$A$8</c:f>
              <c:strCache>
                <c:ptCount val="4"/>
                <c:pt idx="0">
                  <c:v>Domestic</c:v>
                </c:pt>
                <c:pt idx="1">
                  <c:v>Export</c:v>
                </c:pt>
                <c:pt idx="2">
                  <c:v>Import</c:v>
                </c:pt>
                <c:pt idx="3">
                  <c:v>Tranship</c:v>
                </c:pt>
              </c:strCache>
            </c:strRef>
          </c:cat>
          <c:val>
            <c:numRef>
              <c:f>'Fees by Cargo'!$B$4:$B$8</c:f>
              <c:numCache>
                <c:formatCode>General</c:formatCode>
                <c:ptCount val="4"/>
                <c:pt idx="0">
                  <c:v>1544085</c:v>
                </c:pt>
                <c:pt idx="1">
                  <c:v>1480649</c:v>
                </c:pt>
                <c:pt idx="2">
                  <c:v>1466818</c:v>
                </c:pt>
                <c:pt idx="3">
                  <c:v>1442517</c:v>
                </c:pt>
              </c:numCache>
            </c:numRef>
          </c:val>
          <c:extLst>
            <c:ext xmlns:c16="http://schemas.microsoft.com/office/drawing/2014/chart" uri="{C3380CC4-5D6E-409C-BE32-E72D297353CC}">
              <c16:uniqueId val="{00000000-9216-40C4-A180-978537CCF997}"/>
            </c:ext>
          </c:extLst>
        </c:ser>
        <c:dLbls>
          <c:dLblPos val="outEnd"/>
          <c:showLegendKey val="0"/>
          <c:showVal val="1"/>
          <c:showCatName val="0"/>
          <c:showSerName val="0"/>
          <c:showPercent val="0"/>
          <c:showBubbleSize val="0"/>
        </c:dLbls>
        <c:gapWidth val="219"/>
        <c:overlap val="-27"/>
        <c:axId val="2074509888"/>
        <c:axId val="2074508224"/>
      </c:barChart>
      <c:catAx>
        <c:axId val="207450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74508224"/>
        <c:crosses val="autoZero"/>
        <c:auto val="1"/>
        <c:lblAlgn val="ctr"/>
        <c:lblOffset val="100"/>
        <c:noMultiLvlLbl val="0"/>
      </c:catAx>
      <c:valAx>
        <c:axId val="2074508224"/>
        <c:scaling>
          <c:orientation val="minMax"/>
        </c:scaling>
        <c:delete val="1"/>
        <c:axPos val="l"/>
        <c:numFmt formatCode="General" sourceLinked="1"/>
        <c:majorTickMark val="none"/>
        <c:minorTickMark val="none"/>
        <c:tickLblPos val="nextTo"/>
        <c:crossAx val="207450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[Veronica Mmabun Kazussah-Excelforwork.xlsx]Port Analysis!Port analysis</c:name>
    <c:fmtId val="4"/>
  </c:pivotSource>
  <c:chart>
    <c:autoTitleDeleted val="1"/>
    <c:pivotFmts>
      <c:pivotFmt>
        <c:idx val="0"/>
        <c:spPr>
          <a:blipFill>
            <a:blip xmlns:r="http://schemas.openxmlformats.org/officeDocument/2006/relationships" r:embed="rId3"/>
            <a:stretch>
              <a:fillRect/>
            </a:stretch>
          </a:blip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pivotFmt>
      <c:pivotFmt>
        <c:idx val="2"/>
        <c:spPr>
          <a:blipFill>
            <a:blip xmlns:r="http://schemas.openxmlformats.org/officeDocument/2006/relationships" r:embed="rId3"/>
            <a:stretch>
              <a:fillRect/>
            </a:stretch>
          </a:blipFill>
          <a:ln>
            <a:noFill/>
          </a:ln>
          <a:effectLst/>
        </c:spPr>
      </c:pivotFmt>
      <c:pivotFmt>
        <c:idx val="3"/>
        <c:spPr>
          <a:blipFill>
            <a:blip xmlns:r="http://schemas.openxmlformats.org/officeDocument/2006/relationships" r:embed="rId3"/>
            <a:stretch>
              <a:fillRect/>
            </a:stretch>
          </a:blip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'Port Analysis'!$B$3</c:f>
              <c:strCache>
                <c:ptCount val="1"/>
                <c:pt idx="0">
                  <c:v>Total</c:v>
                </c:pt>
              </c:strCache>
            </c:strRef>
          </c:tx>
          <c:spPr>
            <a:blipFill>
              <a:blip xmlns:r="http://schemas.openxmlformats.org/officeDocument/2006/relationships" r:embed="rId3"/>
              <a:stretch>
                <a:fillRect/>
              </a:stretch>
            </a:blip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'Port Analysis'!$A$4:$A$14</c:f>
              <c:strCache>
                <c:ptCount val="10"/>
                <c:pt idx="0">
                  <c:v>Port Taranaki</c:v>
                </c:pt>
                <c:pt idx="1">
                  <c:v>Port of Tauranga</c:v>
                </c:pt>
                <c:pt idx="2">
                  <c:v>Port Otago</c:v>
                </c:pt>
                <c:pt idx="3">
                  <c:v>Ports of Auckland</c:v>
                </c:pt>
                <c:pt idx="4">
                  <c:v>Southport</c:v>
                </c:pt>
                <c:pt idx="5">
                  <c:v>Lyttelton</c:v>
                </c:pt>
                <c:pt idx="6">
                  <c:v>Primeport Timaru</c:v>
                </c:pt>
                <c:pt idx="7">
                  <c:v>Port Nelson</c:v>
                </c:pt>
                <c:pt idx="8">
                  <c:v>Centreport</c:v>
                </c:pt>
                <c:pt idx="9">
                  <c:v>Port of Napier</c:v>
                </c:pt>
              </c:strCache>
            </c:strRef>
          </c:cat>
          <c:val>
            <c:numRef>
              <c:f>'Port Analysis'!$B$4:$B$14</c:f>
              <c:numCache>
                <c:formatCode>General</c:formatCode>
                <c:ptCount val="10"/>
                <c:pt idx="0">
                  <c:v>508895</c:v>
                </c:pt>
                <c:pt idx="1">
                  <c:v>513028</c:v>
                </c:pt>
                <c:pt idx="2">
                  <c:v>522593</c:v>
                </c:pt>
                <c:pt idx="3">
                  <c:v>547941</c:v>
                </c:pt>
                <c:pt idx="4">
                  <c:v>564165</c:v>
                </c:pt>
                <c:pt idx="5">
                  <c:v>591747</c:v>
                </c:pt>
                <c:pt idx="6">
                  <c:v>651488</c:v>
                </c:pt>
                <c:pt idx="7">
                  <c:v>673949</c:v>
                </c:pt>
                <c:pt idx="8">
                  <c:v>678978</c:v>
                </c:pt>
                <c:pt idx="9">
                  <c:v>681285</c:v>
                </c:pt>
              </c:numCache>
            </c:numRef>
          </c:val>
          <c:extLst>
            <c:ext xmlns:c16="http://schemas.microsoft.com/office/drawing/2014/chart" uri="{C3380CC4-5D6E-409C-BE32-E72D297353CC}">
              <c16:uniqueId val="{00000000-9D90-4003-A077-3BC11CF43BA6}"/>
            </c:ext>
          </c:extLst>
        </c:ser>
        <c:dLbls>
          <c:dLblPos val="outEnd"/>
          <c:showLegendKey val="0"/>
          <c:showVal val="1"/>
          <c:showCatName val="0"/>
          <c:showSerName val="0"/>
          <c:showPercent val="0"/>
          <c:showBubbleSize val="0"/>
        </c:dLbls>
        <c:gapWidth val="67"/>
        <c:axId val="1760786512"/>
        <c:axId val="1760787760"/>
      </c:barChart>
      <c:catAx>
        <c:axId val="176078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0787760"/>
        <c:crosses val="autoZero"/>
        <c:auto val="1"/>
        <c:lblAlgn val="ctr"/>
        <c:lblOffset val="100"/>
        <c:noMultiLvlLbl val="0"/>
      </c:catAx>
      <c:valAx>
        <c:axId val="1760787760"/>
        <c:scaling>
          <c:orientation val="minMax"/>
        </c:scaling>
        <c:delete val="1"/>
        <c:axPos val="b"/>
        <c:numFmt formatCode="General" sourceLinked="1"/>
        <c:majorTickMark val="none"/>
        <c:minorTickMark val="none"/>
        <c:tickLblPos val="nextTo"/>
        <c:crossAx val="176078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[Veronica Mmabun Kazussah-Excelforwork.xlsx]Fees by month!month trend</c:name>
    <c:fmtId val="4"/>
  </c:pivotSource>
  <c:chart>
    <c:autoTitleDeleted val="1"/>
    <c:pivotFmts>
      <c:pivotFmt>
        <c:idx val="0"/>
        <c:spPr>
          <a:solidFill>
            <a:schemeClr val="accent1"/>
          </a:solidFill>
          <a:ln w="28575" cap="rnd">
            <a:solidFill>
              <a:schemeClr val="accent1">
                <a:lumMod val="50000"/>
              </a:schemeClr>
            </a:solidFill>
            <a:round/>
          </a:ln>
          <a:effectLst/>
        </c:spPr>
        <c:marker>
          <c:symbol val="circle"/>
          <c:size val="5"/>
          <c:spPr>
            <a:solidFill>
              <a:schemeClr val="accent1">
                <a:lumMod val="50000"/>
              </a:schemeClr>
            </a:solidFill>
            <a:ln w="9525">
              <a:noFill/>
            </a:ln>
            <a:effectLst/>
            <a:scene3d>
              <a:camera prst="orthographicFront"/>
              <a:lightRig rig="threePt" dir="t"/>
            </a:scene3d>
            <a:sp3d>
              <a:bevelT/>
            </a:sp3d>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circle"/>
          <c:size val="5"/>
          <c:spPr>
            <a:solidFill>
              <a:schemeClr val="accent1">
                <a:lumMod val="50000"/>
              </a:schemeClr>
            </a:solidFill>
            <a:ln w="9525">
              <a:noFill/>
            </a:ln>
            <a:effectLst/>
            <a:scene3d>
              <a:camera prst="orthographicFront"/>
              <a:lightRig rig="threePt" dir="t"/>
            </a:scene3d>
            <a:sp3d>
              <a:bevelT/>
            </a:sp3d>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circle"/>
          <c:size val="5"/>
          <c:spPr>
            <a:solidFill>
              <a:schemeClr val="accent1">
                <a:lumMod val="50000"/>
              </a:schemeClr>
            </a:solidFill>
            <a:ln w="9525">
              <a:noFill/>
            </a:ln>
            <a:effectLst/>
            <a:scene3d>
              <a:camera prst="orthographicFront"/>
              <a:lightRig rig="threePt" dir="t"/>
            </a:scene3d>
            <a:sp3d>
              <a:bevelT/>
            </a:sp3d>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'Fees by month'!$B$3</c:f>
              <c:strCache>
                <c:ptCount val="1"/>
                <c:pt idx="0">
                  <c:v>Total</c:v>
                </c:pt>
              </c:strCache>
            </c:strRef>
          </c:tx>
          <c:spPr>
            <a:ln w="28575" cap="rnd">
              <a:solidFill>
                <a:schemeClr val="accent1">
                  <a:lumMod val="50000"/>
                </a:schemeClr>
              </a:solidFill>
              <a:round/>
            </a:ln>
            <a:effectLst/>
          </c:spPr>
          <c:marker>
            <c:symbol val="circle"/>
            <c:size val="5"/>
            <c:spPr>
              <a:solidFill>
                <a:schemeClr val="accent1">
                  <a:lumMod val="50000"/>
                </a:schemeClr>
              </a:solidFill>
              <a:ln w="9525">
                <a:noFill/>
              </a:ln>
              <a:effectLst/>
              <a:scene3d>
                <a:camera prst="orthographicFront"/>
                <a:lightRig rig="threePt" dir="t"/>
              </a:scene3d>
              <a:sp3d>
                <a:bevelT/>
              </a:sp3d>
            </c:spPr>
          </c:marke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'Fees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'Fees by month'!$B$4:$B$16</c:f>
              <c:numCache>
                <c:formatCode>General</c:formatCode>
                <c:ptCount val="12"/>
                <c:pt idx="0">
                  <c:v>475733</c:v>
                </c:pt>
                <c:pt idx="1">
                  <c:v>429212</c:v>
                </c:pt>
                <c:pt idx="2">
                  <c:v>580080</c:v>
                </c:pt>
                <c:pt idx="3">
                  <c:v>491612</c:v>
                </c:pt>
                <c:pt idx="4">
                  <c:v>470954</c:v>
                </c:pt>
                <c:pt idx="5">
                  <c:v>572293</c:v>
                </c:pt>
                <c:pt idx="6">
                  <c:v>539962</c:v>
                </c:pt>
                <c:pt idx="7">
                  <c:v>536615</c:v>
                </c:pt>
                <c:pt idx="8">
                  <c:v>401596</c:v>
                </c:pt>
                <c:pt idx="9">
                  <c:v>423306</c:v>
                </c:pt>
                <c:pt idx="10">
                  <c:v>476894</c:v>
                </c:pt>
                <c:pt idx="11">
                  <c:v>535812</c:v>
                </c:pt>
              </c:numCache>
            </c:numRef>
          </c:val>
          <c:smooth val="0"/>
          <c:extLst>
            <c:ext xmlns:c16="http://schemas.microsoft.com/office/drawing/2014/chart" uri="{C3380CC4-5D6E-409C-BE32-E72D297353CC}">
              <c16:uniqueId val="{00000000-D98D-49F2-9A3A-0259939FDDF5}"/>
            </c:ext>
          </c:extLst>
        </c:ser>
        <c:dLbls>
          <c:dLblPos val="t"/>
          <c:showLegendKey val="0"/>
          <c:showVal val="1"/>
          <c:showCatName val="0"/>
          <c:showSerName val="0"/>
          <c:showPercent val="0"/>
          <c:showBubbleSize val="0"/>
        </c:dLbls>
        <c:marker val="1"/>
        <c:smooth val="0"/>
        <c:axId val="2074934832"/>
        <c:axId val="2074931920"/>
      </c:lineChart>
      <c:catAx>
        <c:axId val="207493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74931920"/>
        <c:crosses val="autoZero"/>
        <c:auto val="1"/>
        <c:lblAlgn val="ctr"/>
        <c:lblOffset val="100"/>
        <c:noMultiLvlLbl val="0"/>
      </c:catAx>
      <c:valAx>
        <c:axId val="2074931920"/>
        <c:scaling>
          <c:orientation val="minMax"/>
        </c:scaling>
        <c:delete val="1"/>
        <c:axPos val="l"/>
        <c:numFmt formatCode="General" sourceLinked="1"/>
        <c:majorTickMark val="none"/>
        <c:minorTickMark val="none"/>
        <c:tickLblPos val="nextTo"/>
        <c:crossAx val="207493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Note Gallery'!A1"/><Relationship Id="rId7" Type="http://schemas.openxmlformats.org/officeDocument/2006/relationships/hyperlink" Target="https://www.finexskillshub.com/" TargetMode="External"/><Relationship Id="rId2" Type="http://schemas.openxmlformats.org/officeDocument/2006/relationships/image" Target="../media/image1.png"/><Relationship Id="rId1" Type="http://schemas.openxmlformats.org/officeDocument/2006/relationships/hyperlink" Target="#'Table of Content'!A1"/><Relationship Id="rId6" Type="http://schemas.openxmlformats.org/officeDocument/2006/relationships/hyperlink" Target="#'About Us'!A1"/><Relationship Id="rId5" Type="http://schemas.openxmlformats.org/officeDocument/2006/relationships/hyperlink" Target="#'Assignment Gallery'!A1"/><Relationship Id="rId4" Type="http://schemas.openxmlformats.org/officeDocument/2006/relationships/hyperlink" Target="#'Video Gallery'!A1"/></Relationships>
</file>

<file path=xl/drawings/_rels/drawing2.xml.rels><?xml version="1.0" encoding="UTF-8" standalone="yes"?>
<Relationships xmlns="http://schemas.openxmlformats.org/package/2006/relationships"><Relationship Id="rId8" Type="http://schemas.openxmlformats.org/officeDocument/2006/relationships/hyperlink" Target="#'Goal Seek'!A1"/><Relationship Id="rId13" Type="http://schemas.openxmlformats.org/officeDocument/2006/relationships/hyperlink" Target="#'All Branch'!A1"/><Relationship Id="rId18" Type="http://schemas.openxmlformats.org/officeDocument/2006/relationships/hyperlink" Target="#'Application -HR Data'!A1"/><Relationship Id="rId3" Type="http://schemas.openxmlformats.org/officeDocument/2006/relationships/hyperlink" Target="#'Table of Content'!A1"/><Relationship Id="rId7" Type="http://schemas.openxmlformats.org/officeDocument/2006/relationships/hyperlink" Target="#Solver!A1"/><Relationship Id="rId12" Type="http://schemas.openxmlformats.org/officeDocument/2006/relationships/hyperlink" Target="#'Data -Logic'!A1"/><Relationship Id="rId17" Type="http://schemas.openxmlformats.org/officeDocument/2006/relationships/hyperlink" Target="#Referencing!A1"/><Relationship Id="rId2" Type="http://schemas.openxmlformats.org/officeDocument/2006/relationships/hyperlink" Target="#Shortcuts!A1"/><Relationship Id="rId16" Type="http://schemas.openxmlformats.org/officeDocument/2006/relationships/hyperlink" Target="#'Branch A'!A1"/><Relationship Id="rId1" Type="http://schemas.openxmlformats.org/officeDocument/2006/relationships/hyperlink" Target="#Cover!A1"/><Relationship Id="rId6" Type="http://schemas.openxmlformats.org/officeDocument/2006/relationships/hyperlink" Target="#'Scenario Manager'!A1"/><Relationship Id="rId11" Type="http://schemas.openxmlformats.org/officeDocument/2006/relationships/hyperlink" Target="#'Data -Lookup'!A1"/><Relationship Id="rId5" Type="http://schemas.openxmlformats.org/officeDocument/2006/relationships/hyperlink" Target="#'Data Tables'!A1"/><Relationship Id="rId15" Type="http://schemas.openxmlformats.org/officeDocument/2006/relationships/hyperlink" Target="#'Branch B'!A1"/><Relationship Id="rId10" Type="http://schemas.openxmlformats.org/officeDocument/2006/relationships/hyperlink" Target="#'Text Functions-Overview'!A1"/><Relationship Id="rId19" Type="http://schemas.openxmlformats.org/officeDocument/2006/relationships/hyperlink" Target="#'HR Data'!A1"/><Relationship Id="rId4" Type="http://schemas.openxmlformats.org/officeDocument/2006/relationships/hyperlink" Target="#DATA!A1"/><Relationship Id="rId9" Type="http://schemas.openxmlformats.org/officeDocument/2006/relationships/hyperlink" Target="#'Text Functions-Practice'!A1"/><Relationship Id="rId14" Type="http://schemas.openxmlformats.org/officeDocument/2006/relationships/hyperlink" Target="#'Branch C'!A1"/></Relationships>
</file>

<file path=xl/drawings/_rels/drawing3.xml.rels><?xml version="1.0" encoding="UTF-8" standalone="yes"?>
<Relationships xmlns="http://schemas.openxmlformats.org/package/2006/relationships"><Relationship Id="rId3" Type="http://schemas.openxmlformats.org/officeDocument/2006/relationships/hyperlink" Target="#'Table of Content'!A1"/><Relationship Id="rId2" Type="http://schemas.openxmlformats.org/officeDocument/2006/relationships/hyperlink" Target="#Cover!A1"/><Relationship Id="rId1" Type="http://schemas.openxmlformats.org/officeDocument/2006/relationships/image" Target="../media/image1.png"/><Relationship Id="rId5" Type="http://schemas.openxmlformats.org/officeDocument/2006/relationships/hyperlink" Target="https://www.finexskillshub.com/" TargetMode="External"/><Relationship Id="rId4" Type="http://schemas.openxmlformats.org/officeDocument/2006/relationships/hyperlink" Target="#'HR Data'!A1"/></Relationships>
</file>

<file path=xl/drawings/_rels/drawing4.xml.rels><?xml version="1.0" encoding="UTF-8" standalone="yes"?>
<Relationships xmlns="http://schemas.openxmlformats.org/package/2006/relationships"><Relationship Id="rId3" Type="http://schemas.openxmlformats.org/officeDocument/2006/relationships/hyperlink" Target="#Shortcuts!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Application -HR Data'!A1"/></Relationships>
</file>

<file path=xl/drawings/_rels/drawing5.xml.rels><?xml version="1.0" encoding="UTF-8" standalone="yes"?>
<Relationships xmlns="http://schemas.openxmlformats.org/package/2006/relationships"><Relationship Id="rId3" Type="http://schemas.openxmlformats.org/officeDocument/2006/relationships/hyperlink" Target="#'HR Data'!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Referencing!A1"/></Relationships>
</file>

<file path=xl/drawings/_rels/drawing6.xml.rels><?xml version="1.0" encoding="UTF-8" standalone="yes"?>
<Relationships xmlns="http://schemas.openxmlformats.org/package/2006/relationships"><Relationship Id="rId3" Type="http://schemas.openxmlformats.org/officeDocument/2006/relationships/hyperlink" Target="#'Application -HR Data'!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Branch A'!A1"/></Relationships>
</file>

<file path=xl/drawings/_rels/drawing7.xml.rels><?xml version="1.0" encoding="UTF-8" standalone="yes"?>
<Relationships xmlns="http://schemas.openxmlformats.org/package/2006/relationships"><Relationship Id="rId3" Type="http://schemas.openxmlformats.org/officeDocument/2006/relationships/hyperlink" Target="#Referencing!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Branch B'!A1"/></Relationships>
</file>

<file path=xl/drawings/_rels/drawing8.xml.rels><?xml version="1.0" encoding="UTF-8" standalone="yes"?>
<Relationships xmlns="http://schemas.openxmlformats.org/package/2006/relationships"><Relationship Id="rId3" Type="http://schemas.openxmlformats.org/officeDocument/2006/relationships/hyperlink" Target="#'Branch A'!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Branch C'!A1"/></Relationships>
</file>

<file path=xl/drawings/_rels/drawing9.xml.rels><?xml version="1.0" encoding="UTF-8" standalone="yes"?>
<Relationships xmlns="http://schemas.openxmlformats.org/package/2006/relationships"><Relationship Id="rId3" Type="http://schemas.openxmlformats.org/officeDocument/2006/relationships/hyperlink" Target="#'Branch B'!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All Branch'!A1"/></Relationships>
</file>

<file path=xl/drawings/_rels/drawing10.xml.rels><?xml version="1.0" encoding="UTF-8" standalone="yes"?>
<Relationships xmlns="http://schemas.openxmlformats.org/package/2006/relationships"><Relationship Id="rId3" Type="http://schemas.openxmlformats.org/officeDocument/2006/relationships/hyperlink" Target="#'Branch C'!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Data -Logic'!A1"/></Relationships>
</file>

<file path=xl/drawings/_rels/drawing11.xml.rels><?xml version="1.0" encoding="UTF-8" standalone="yes"?>
<Relationships xmlns="http://schemas.openxmlformats.org/package/2006/relationships"><Relationship Id="rId3" Type="http://schemas.openxmlformats.org/officeDocument/2006/relationships/hyperlink" Target="#'All Branch'!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Data -Lookup'!A1"/></Relationships>
</file>

<file path=xl/drawings/_rels/drawing12.xml.rels><?xml version="1.0" encoding="UTF-8" standalone="yes"?>
<Relationships xmlns="http://schemas.openxmlformats.org/package/2006/relationships"><Relationship Id="rId3" Type="http://schemas.openxmlformats.org/officeDocument/2006/relationships/hyperlink" Target="#'Data -Logic'!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Text Functions-Overview'!A1"/></Relationships>
</file>

<file path=xl/drawings/_rels/drawing13.xml.rels><?xml version="1.0" encoding="UTF-8" standalone="yes"?>
<Relationships xmlns="http://schemas.openxmlformats.org/package/2006/relationships"><Relationship Id="rId3" Type="http://schemas.openxmlformats.org/officeDocument/2006/relationships/hyperlink" Target="#'Data -Lookup'!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Text Functions-Practice'!A1"/></Relationships>
</file>

<file path=xl/drawings/_rels/drawing14.xml.rels><?xml version="1.0" encoding="UTF-8" standalone="yes"?>
<Relationships xmlns="http://schemas.openxmlformats.org/package/2006/relationships"><Relationship Id="rId3" Type="http://schemas.openxmlformats.org/officeDocument/2006/relationships/hyperlink" Target="#'Text Functions-Overview'!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Goal Seek'!A1"/></Relationships>
</file>

<file path=xl/drawings/_rels/drawing15.xml.rels><?xml version="1.0" encoding="UTF-8" standalone="yes"?>
<Relationships xmlns="http://schemas.openxmlformats.org/package/2006/relationships"><Relationship Id="rId3" Type="http://schemas.openxmlformats.org/officeDocument/2006/relationships/hyperlink" Target="#'Text Functions-Practice'!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Solver!A1"/></Relationships>
</file>

<file path=xl/drawings/_rels/drawing16.xml.rels><?xml version="1.0" encoding="UTF-8" standalone="yes"?>
<Relationships xmlns="http://schemas.openxmlformats.org/package/2006/relationships"><Relationship Id="rId3" Type="http://schemas.openxmlformats.org/officeDocument/2006/relationships/hyperlink" Target="#'Goal Seek'!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Scenario Manager'!A1"/></Relationships>
</file>

<file path=xl/drawings/_rels/drawing17.xml.rels><?xml version="1.0" encoding="UTF-8" standalone="yes"?>
<Relationships xmlns="http://schemas.openxmlformats.org/package/2006/relationships"><Relationship Id="rId3" Type="http://schemas.openxmlformats.org/officeDocument/2006/relationships/hyperlink" Target="#Solver!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Data Tables'!A1"/></Relationships>
</file>

<file path=xl/drawings/_rels/drawing18.xml.rels><?xml version="1.0" encoding="UTF-8" standalone="yes"?>
<Relationships xmlns="http://schemas.openxmlformats.org/package/2006/relationships"><Relationship Id="rId3" Type="http://schemas.openxmlformats.org/officeDocument/2006/relationships/hyperlink" Target="#'Scenario Manager'!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DATA!A1"/></Relationships>
</file>

<file path=xl/drawings/_rels/drawing19.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1.xml.rels><?xml version="1.0" encoding="UTF-8" standalone="yes"?>
<Relationships xmlns="http://schemas.openxmlformats.org/package/2006/relationships"><Relationship Id="rId3" Type="http://schemas.openxmlformats.org/officeDocument/2006/relationships/hyperlink" Target="#'Data Tables'!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Table of Content'!A1"/><Relationship Id="rId4" Type="http://schemas.openxmlformats.org/officeDocument/2006/relationships/hyperlink" Target="#'Note Gallery'!A1"/></Relationships>
</file>

<file path=xl/drawings/_rels/drawing2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Notes -Text Functions'!A1"/><Relationship Id="rId18" Type="http://schemas.openxmlformats.org/officeDocument/2006/relationships/image" Target="../media/image12.png"/><Relationship Id="rId26" Type="http://schemas.openxmlformats.org/officeDocument/2006/relationships/hyperlink" Target="#'Note Gallery'!A1"/><Relationship Id="rId3" Type="http://schemas.openxmlformats.org/officeDocument/2006/relationships/hyperlink" Target="#'Notes -Referencing'!A1"/><Relationship Id="rId21" Type="http://schemas.openxmlformats.org/officeDocument/2006/relationships/hyperlink" Target="#'Notes -Pivot Table'!A1"/><Relationship Id="rId7" Type="http://schemas.openxmlformats.org/officeDocument/2006/relationships/hyperlink" Target="#'Notes -Aggregating Functions'!A1"/><Relationship Id="rId12" Type="http://schemas.openxmlformats.org/officeDocument/2006/relationships/image" Target="../media/image9.png"/><Relationship Id="rId17" Type="http://schemas.openxmlformats.org/officeDocument/2006/relationships/hyperlink" Target="#'Notes -Financial Functions'!A1"/><Relationship Id="rId25" Type="http://schemas.openxmlformats.org/officeDocument/2006/relationships/hyperlink" Target="#'Notes -Introduction to Excel'!A1"/><Relationship Id="rId2" Type="http://schemas.openxmlformats.org/officeDocument/2006/relationships/image" Target="../media/image4.png"/><Relationship Id="rId16" Type="http://schemas.openxmlformats.org/officeDocument/2006/relationships/image" Target="../media/image11.png"/><Relationship Id="rId20" Type="http://schemas.openxmlformats.org/officeDocument/2006/relationships/image" Target="../media/image13.png"/><Relationship Id="rId1" Type="http://schemas.openxmlformats.org/officeDocument/2006/relationships/hyperlink" Target="https://onedrive.live.com/download?cid=8243AA7D1A3C60C5&amp;resid=8243aa7d1a3c60c5%2146837&amp;authkey=ALBrn33ad1t_v34&amp;em=2" TargetMode="External"/><Relationship Id="rId6" Type="http://schemas.openxmlformats.org/officeDocument/2006/relationships/image" Target="../media/image6.png"/><Relationship Id="rId11" Type="http://schemas.openxmlformats.org/officeDocument/2006/relationships/hyperlink" Target="#'Notes -Lookup Functions'!A1"/><Relationship Id="rId24" Type="http://schemas.openxmlformats.org/officeDocument/2006/relationships/hyperlink" Target="#DATA!A1"/><Relationship Id="rId5" Type="http://schemas.openxmlformats.org/officeDocument/2006/relationships/hyperlink" Target="#'Notes -Tables'!A1"/><Relationship Id="rId15" Type="http://schemas.openxmlformats.org/officeDocument/2006/relationships/hyperlink" Target="#'Notes -Dates &amp; Time Functions'!A1"/><Relationship Id="rId23" Type="http://schemas.openxmlformats.org/officeDocument/2006/relationships/hyperlink" Target="#Cover!A1"/><Relationship Id="rId10" Type="http://schemas.openxmlformats.org/officeDocument/2006/relationships/image" Target="../media/image8.png"/><Relationship Id="rId19" Type="http://schemas.openxmlformats.org/officeDocument/2006/relationships/hyperlink" Target="#'Notes -Goal Seek, Solver'!A1"/><Relationship Id="rId4" Type="http://schemas.openxmlformats.org/officeDocument/2006/relationships/image" Target="../media/image5.png"/><Relationship Id="rId9" Type="http://schemas.openxmlformats.org/officeDocument/2006/relationships/hyperlink" Target="#'Notes -Logic Functions'!A1"/><Relationship Id="rId14" Type="http://schemas.openxmlformats.org/officeDocument/2006/relationships/image" Target="../media/image10.png"/><Relationship Id="rId22" Type="http://schemas.openxmlformats.org/officeDocument/2006/relationships/image" Target="../media/image14.png"/><Relationship Id="rId27" Type="http://schemas.openxmlformats.org/officeDocument/2006/relationships/image" Target="../media/image15.png"/></Relationships>
</file>

<file path=xl/drawings/_rels/drawing23.xml.rels><?xml version="1.0" encoding="UTF-8" standalone="yes"?>
<Relationships xmlns="http://schemas.openxmlformats.org/package/2006/relationships"><Relationship Id="rId8" Type="http://schemas.openxmlformats.org/officeDocument/2006/relationships/hyperlink" Target="https://www.youtube.com/c/FinexSkillsHub?%20sub_confirmation=1" TargetMode="External"/><Relationship Id="rId13" Type="http://schemas.openxmlformats.org/officeDocument/2006/relationships/hyperlink" Target="https://www.finexskillshub.com/" TargetMode="External"/><Relationship Id="rId3" Type="http://schemas.openxmlformats.org/officeDocument/2006/relationships/image" Target="../media/image18.png"/><Relationship Id="rId7" Type="http://schemas.openxmlformats.org/officeDocument/2006/relationships/image" Target="../media/image1.png"/><Relationship Id="rId12" Type="http://schemas.openxmlformats.org/officeDocument/2006/relationships/image" Target="../media/image24.png"/><Relationship Id="rId2" Type="http://schemas.openxmlformats.org/officeDocument/2006/relationships/image" Target="../media/image17.png"/><Relationship Id="rId16" Type="http://schemas.openxmlformats.org/officeDocument/2006/relationships/hyperlink" Target="#'Notes -Referencing'!A1"/><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3.png"/><Relationship Id="rId5" Type="http://schemas.openxmlformats.org/officeDocument/2006/relationships/image" Target="../media/image20.png"/><Relationship Id="rId15" Type="http://schemas.openxmlformats.org/officeDocument/2006/relationships/hyperlink" Target="#'Note Gallery'!A1"/><Relationship Id="rId10" Type="http://schemas.openxmlformats.org/officeDocument/2006/relationships/hyperlink" Target="https://www.youtube.com/channel/UCdM431C5PJmxNstOz1WDWTQ" TargetMode="External"/><Relationship Id="rId4" Type="http://schemas.openxmlformats.org/officeDocument/2006/relationships/image" Target="../media/image19.png"/><Relationship Id="rId9" Type="http://schemas.openxmlformats.org/officeDocument/2006/relationships/image" Target="../media/image22.png"/><Relationship Id="rId14" Type="http://schemas.openxmlformats.org/officeDocument/2006/relationships/hyperlink" Target="#Cover!A1"/></Relationships>
</file>

<file path=xl/drawings/_rels/drawing24.xml.rels><?xml version="1.0" encoding="UTF-8" standalone="yes"?>
<Relationships xmlns="http://schemas.openxmlformats.org/package/2006/relationships"><Relationship Id="rId8" Type="http://schemas.openxmlformats.org/officeDocument/2006/relationships/hyperlink" Target="#Cover!A1"/><Relationship Id="rId3" Type="http://schemas.openxmlformats.org/officeDocument/2006/relationships/image" Target="../media/image22.png"/><Relationship Id="rId7" Type="http://schemas.openxmlformats.org/officeDocument/2006/relationships/hyperlink" Target="https://www.finexskillshub.com/" TargetMode="External"/><Relationship Id="rId2" Type="http://schemas.openxmlformats.org/officeDocument/2006/relationships/hyperlink" Target="https://www.youtube.com/c/FinexSkillsHub?%20sub_confirmation=1" TargetMode="External"/><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hyperlink" Target="#'Note Gallery'!A1"/><Relationship Id="rId5" Type="http://schemas.openxmlformats.org/officeDocument/2006/relationships/image" Target="../media/image23.png"/><Relationship Id="rId10" Type="http://schemas.openxmlformats.org/officeDocument/2006/relationships/hyperlink" Target="#'Notes -Tables'!A1"/><Relationship Id="rId4" Type="http://schemas.openxmlformats.org/officeDocument/2006/relationships/hyperlink" Target="https://www.youtube.com/channel/UCdM431C5PJmxNstOz1WDWTQ" TargetMode="External"/><Relationship Id="rId9" Type="http://schemas.openxmlformats.org/officeDocument/2006/relationships/hyperlink" Target="#'Notes -Introduction to Excel'!A1"/></Relationships>
</file>

<file path=xl/drawings/_rels/drawing2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2.png"/><Relationship Id="rId7" Type="http://schemas.openxmlformats.org/officeDocument/2006/relationships/hyperlink" Target="https://www.finexskillshub.com/" TargetMode="External"/><Relationship Id="rId12" Type="http://schemas.openxmlformats.org/officeDocument/2006/relationships/hyperlink" Target="#'Note Gallery'!A1"/><Relationship Id="rId2" Type="http://schemas.openxmlformats.org/officeDocument/2006/relationships/hyperlink" Target="https://www.youtube.com/c/FinexSkillsHub?%20sub_confirmation=1" TargetMode="External"/><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hyperlink" Target="#'Notes -Aggregating Functions'!A1"/><Relationship Id="rId5" Type="http://schemas.openxmlformats.org/officeDocument/2006/relationships/image" Target="../media/image23.png"/><Relationship Id="rId10" Type="http://schemas.openxmlformats.org/officeDocument/2006/relationships/hyperlink" Target="#'Notes -Referencing'!A1"/><Relationship Id="rId4" Type="http://schemas.openxmlformats.org/officeDocument/2006/relationships/hyperlink" Target="https://www.youtube.com/channel/UCdM431C5PJmxNstOz1WDWTQ" TargetMode="External"/><Relationship Id="rId9" Type="http://schemas.openxmlformats.org/officeDocument/2006/relationships/hyperlink" Target="#Cover!A1"/></Relationships>
</file>

<file path=xl/drawings/_rels/drawing26.xml.rels><?xml version="1.0" encoding="UTF-8" standalone="yes"?>
<Relationships xmlns="http://schemas.openxmlformats.org/package/2006/relationships"><Relationship Id="rId8" Type="http://schemas.openxmlformats.org/officeDocument/2006/relationships/hyperlink" Target="#Cover!A1"/><Relationship Id="rId3" Type="http://schemas.openxmlformats.org/officeDocument/2006/relationships/image" Target="../media/image22.png"/><Relationship Id="rId7" Type="http://schemas.openxmlformats.org/officeDocument/2006/relationships/hyperlink" Target="https://www.finexskillshub.com/" TargetMode="External"/><Relationship Id="rId2" Type="http://schemas.openxmlformats.org/officeDocument/2006/relationships/hyperlink" Target="https://www.youtube.com/c/FinexSkillsHub?%20sub_confirmation=1" TargetMode="External"/><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hyperlink" Target="#'Note Gallery'!A1"/><Relationship Id="rId5" Type="http://schemas.openxmlformats.org/officeDocument/2006/relationships/image" Target="../media/image23.png"/><Relationship Id="rId10" Type="http://schemas.openxmlformats.org/officeDocument/2006/relationships/hyperlink" Target="#'Notes -Logic Functions'!A1"/><Relationship Id="rId4" Type="http://schemas.openxmlformats.org/officeDocument/2006/relationships/hyperlink" Target="https://www.youtube.com/channel/UCdM431C5PJmxNstOz1WDWTQ" TargetMode="External"/><Relationship Id="rId9" Type="http://schemas.openxmlformats.org/officeDocument/2006/relationships/hyperlink" Target="#'Notes -Tables'!A1"/></Relationships>
</file>

<file path=xl/drawings/_rels/drawing27.xml.rels><?xml version="1.0" encoding="UTF-8" standalone="yes"?>
<Relationships xmlns="http://schemas.openxmlformats.org/package/2006/relationships"><Relationship Id="rId8" Type="http://schemas.openxmlformats.org/officeDocument/2006/relationships/hyperlink" Target="#Cover!A1"/><Relationship Id="rId3" Type="http://schemas.openxmlformats.org/officeDocument/2006/relationships/image" Target="../media/image22.png"/><Relationship Id="rId7" Type="http://schemas.openxmlformats.org/officeDocument/2006/relationships/hyperlink" Target="https://www.finexskillshub.com/" TargetMode="External"/><Relationship Id="rId2" Type="http://schemas.openxmlformats.org/officeDocument/2006/relationships/hyperlink" Target="https://www.youtube.com/c/FinexSkillsHub?%20sub_confirmation=1" TargetMode="External"/><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hyperlink" Target="#'Note Gallery'!A1"/><Relationship Id="rId5" Type="http://schemas.openxmlformats.org/officeDocument/2006/relationships/image" Target="../media/image23.png"/><Relationship Id="rId10" Type="http://schemas.openxmlformats.org/officeDocument/2006/relationships/hyperlink" Target="#'Notes -Lookup Functions'!A1"/><Relationship Id="rId4" Type="http://schemas.openxmlformats.org/officeDocument/2006/relationships/hyperlink" Target="https://www.youtube.com/channel/UCdM431C5PJmxNstOz1WDWTQ" TargetMode="External"/><Relationship Id="rId9" Type="http://schemas.openxmlformats.org/officeDocument/2006/relationships/hyperlink" Target="#'Notes -Aggregating Functions'!A1"/></Relationships>
</file>

<file path=xl/drawings/_rels/drawing28.xml.rels><?xml version="1.0" encoding="UTF-8" standalone="yes"?>
<Relationships xmlns="http://schemas.openxmlformats.org/package/2006/relationships"><Relationship Id="rId8" Type="http://schemas.openxmlformats.org/officeDocument/2006/relationships/hyperlink" Target="#Cover!A1"/><Relationship Id="rId3" Type="http://schemas.openxmlformats.org/officeDocument/2006/relationships/image" Target="../media/image22.png"/><Relationship Id="rId7" Type="http://schemas.openxmlformats.org/officeDocument/2006/relationships/hyperlink" Target="https://www.finexskillshub.com/" TargetMode="External"/><Relationship Id="rId2" Type="http://schemas.openxmlformats.org/officeDocument/2006/relationships/hyperlink" Target="https://www.youtube.com/c/FinexSkillsHub?%20sub_confirmation=1" TargetMode="External"/><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hyperlink" Target="#'Note Gallery'!A1"/><Relationship Id="rId5" Type="http://schemas.openxmlformats.org/officeDocument/2006/relationships/image" Target="../media/image23.png"/><Relationship Id="rId10" Type="http://schemas.openxmlformats.org/officeDocument/2006/relationships/hyperlink" Target="#'Notes -Text Functions'!A1"/><Relationship Id="rId4" Type="http://schemas.openxmlformats.org/officeDocument/2006/relationships/hyperlink" Target="https://www.youtube.com/channel/UCdM431C5PJmxNstOz1WDWTQ" TargetMode="External"/><Relationship Id="rId9" Type="http://schemas.openxmlformats.org/officeDocument/2006/relationships/hyperlink" Target="#'Notes -Logic Functions'!A1"/></Relationships>
</file>

<file path=xl/drawings/_rels/drawing29.xml.rels><?xml version="1.0" encoding="UTF-8" standalone="yes"?>
<Relationships xmlns="http://schemas.openxmlformats.org/package/2006/relationships"><Relationship Id="rId8" Type="http://schemas.openxmlformats.org/officeDocument/2006/relationships/hyperlink" Target="#Cover!A1"/><Relationship Id="rId3" Type="http://schemas.openxmlformats.org/officeDocument/2006/relationships/image" Target="../media/image22.png"/><Relationship Id="rId7" Type="http://schemas.openxmlformats.org/officeDocument/2006/relationships/hyperlink" Target="https://www.finexskillshub.com/" TargetMode="External"/><Relationship Id="rId2" Type="http://schemas.openxmlformats.org/officeDocument/2006/relationships/hyperlink" Target="https://www.youtube.com/c/FinexSkillsHub?%20sub_confirmation=1" TargetMode="External"/><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hyperlink" Target="#'Note Gallery'!A1"/><Relationship Id="rId5" Type="http://schemas.openxmlformats.org/officeDocument/2006/relationships/image" Target="../media/image23.png"/><Relationship Id="rId10" Type="http://schemas.openxmlformats.org/officeDocument/2006/relationships/hyperlink" Target="#'Notes -Dates &amp; Time Functions'!A1"/><Relationship Id="rId4" Type="http://schemas.openxmlformats.org/officeDocument/2006/relationships/hyperlink" Target="https://www.youtube.com/channel/UCdM431C5PJmxNstOz1WDWTQ" TargetMode="External"/><Relationship Id="rId9" Type="http://schemas.openxmlformats.org/officeDocument/2006/relationships/hyperlink" Target="#'Notes -Lookup Functions'!A1"/></Relationships>
</file>

<file path=xl/drawings/_rels/drawing30.xml.rels><?xml version="1.0" encoding="UTF-8" standalone="yes"?>
<Relationships xmlns="http://schemas.openxmlformats.org/package/2006/relationships"><Relationship Id="rId8" Type="http://schemas.openxmlformats.org/officeDocument/2006/relationships/hyperlink" Target="#Cover!A1"/><Relationship Id="rId3" Type="http://schemas.openxmlformats.org/officeDocument/2006/relationships/image" Target="../media/image22.png"/><Relationship Id="rId7" Type="http://schemas.openxmlformats.org/officeDocument/2006/relationships/hyperlink" Target="https://www.finexskillshub.com/" TargetMode="External"/><Relationship Id="rId2" Type="http://schemas.openxmlformats.org/officeDocument/2006/relationships/hyperlink" Target="https://www.youtube.com/c/FinexSkillsHub?%20sub_confirmation=1" TargetMode="External"/><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hyperlink" Target="#'Note Gallery'!A1"/><Relationship Id="rId5" Type="http://schemas.openxmlformats.org/officeDocument/2006/relationships/image" Target="../media/image23.png"/><Relationship Id="rId10" Type="http://schemas.openxmlformats.org/officeDocument/2006/relationships/hyperlink" Target="#'Notes -Financial Functions'!A1"/><Relationship Id="rId4" Type="http://schemas.openxmlformats.org/officeDocument/2006/relationships/hyperlink" Target="https://www.youtube.com/channel/UCdM431C5PJmxNstOz1WDWTQ" TargetMode="External"/><Relationship Id="rId9" Type="http://schemas.openxmlformats.org/officeDocument/2006/relationships/hyperlink" Target="#'Notes -Text Functions'!A1"/></Relationships>
</file>

<file path=xl/drawings/_rels/drawing31.xml.rels><?xml version="1.0" encoding="UTF-8" standalone="yes"?>
<Relationships xmlns="http://schemas.openxmlformats.org/package/2006/relationships"><Relationship Id="rId8" Type="http://schemas.openxmlformats.org/officeDocument/2006/relationships/hyperlink" Target="#Cover!A1"/><Relationship Id="rId3" Type="http://schemas.openxmlformats.org/officeDocument/2006/relationships/image" Target="../media/image22.png"/><Relationship Id="rId7" Type="http://schemas.openxmlformats.org/officeDocument/2006/relationships/hyperlink" Target="https://www.finexskillshub.com/" TargetMode="External"/><Relationship Id="rId2" Type="http://schemas.openxmlformats.org/officeDocument/2006/relationships/hyperlink" Target="https://www.youtube.com/c/FinexSkillsHub?%20sub_confirmation=1" TargetMode="External"/><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hyperlink" Target="#'Note Gallery'!A1"/><Relationship Id="rId5" Type="http://schemas.openxmlformats.org/officeDocument/2006/relationships/image" Target="../media/image23.png"/><Relationship Id="rId10" Type="http://schemas.openxmlformats.org/officeDocument/2006/relationships/hyperlink" Target="#'Notes -Goal Seek, Solver'!A1"/><Relationship Id="rId4" Type="http://schemas.openxmlformats.org/officeDocument/2006/relationships/hyperlink" Target="https://www.youtube.com/channel/UCdM431C5PJmxNstOz1WDWTQ" TargetMode="External"/><Relationship Id="rId9" Type="http://schemas.openxmlformats.org/officeDocument/2006/relationships/hyperlink" Target="#'Notes -Dates &amp; Time Functions'!A1"/></Relationships>
</file>

<file path=xl/drawings/_rels/drawing32.xml.rels><?xml version="1.0" encoding="UTF-8" standalone="yes"?>
<Relationships xmlns="http://schemas.openxmlformats.org/package/2006/relationships"><Relationship Id="rId8" Type="http://schemas.openxmlformats.org/officeDocument/2006/relationships/hyperlink" Target="https://www.finexskillshub.com/" TargetMode="External"/><Relationship Id="rId3" Type="http://schemas.openxmlformats.org/officeDocument/2006/relationships/hyperlink" Target="https://www.youtube.com/c/FinexSkillsHub?%20sub_confirmation=1" TargetMode="External"/><Relationship Id="rId7" Type="http://schemas.openxmlformats.org/officeDocument/2006/relationships/image" Target="../media/image24.png"/><Relationship Id="rId12" Type="http://schemas.openxmlformats.org/officeDocument/2006/relationships/hyperlink" Target="#'Note Gallery'!A1"/><Relationship Id="rId2" Type="http://schemas.openxmlformats.org/officeDocument/2006/relationships/image" Target="../media/image1.png"/><Relationship Id="rId1" Type="http://schemas.openxmlformats.org/officeDocument/2006/relationships/image" Target="../media/image26.png"/><Relationship Id="rId6" Type="http://schemas.openxmlformats.org/officeDocument/2006/relationships/image" Target="../media/image23.png"/><Relationship Id="rId11" Type="http://schemas.openxmlformats.org/officeDocument/2006/relationships/hyperlink" Target="#'Notes -Pivot Table'!A1"/><Relationship Id="rId5" Type="http://schemas.openxmlformats.org/officeDocument/2006/relationships/hyperlink" Target="https://www.youtube.com/channel/UCdM431C5PJmxNstOz1WDWTQ" TargetMode="External"/><Relationship Id="rId10" Type="http://schemas.openxmlformats.org/officeDocument/2006/relationships/hyperlink" Target="#'Notes -Financial Functions'!A1"/><Relationship Id="rId4" Type="http://schemas.openxmlformats.org/officeDocument/2006/relationships/image" Target="../media/image22.png"/><Relationship Id="rId9" Type="http://schemas.openxmlformats.org/officeDocument/2006/relationships/hyperlink" Target="#Cover!A1"/></Relationships>
</file>

<file path=xl/drawings/_rels/drawing3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hyperlink" Target="https://www.youtube.com/channel/UCdM431C5PJmxNstOz1WDWTQ" TargetMode="External"/><Relationship Id="rId3" Type="http://schemas.openxmlformats.org/officeDocument/2006/relationships/image" Target="../media/image29.png"/><Relationship Id="rId21" Type="http://schemas.openxmlformats.org/officeDocument/2006/relationships/hyperlink" Target="https://www.finexskillshub.com/" TargetMode="External"/><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22.png"/><Relationship Id="rId25" Type="http://schemas.openxmlformats.org/officeDocument/2006/relationships/hyperlink" Target="#'Note Gallery'!A1"/><Relationship Id="rId2" Type="http://schemas.openxmlformats.org/officeDocument/2006/relationships/image" Target="../media/image28.png"/><Relationship Id="rId16" Type="http://schemas.openxmlformats.org/officeDocument/2006/relationships/hyperlink" Target="https://www.youtube.com/c/FinexSkillsHub?%20sub_confirmation=1" TargetMode="External"/><Relationship Id="rId20" Type="http://schemas.openxmlformats.org/officeDocument/2006/relationships/image" Target="../media/image24.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hyperlink" Target="#'Assignment Gallery'!A1"/><Relationship Id="rId5" Type="http://schemas.openxmlformats.org/officeDocument/2006/relationships/image" Target="../media/image31.png"/><Relationship Id="rId15" Type="http://schemas.openxmlformats.org/officeDocument/2006/relationships/image" Target="../media/image1.png"/><Relationship Id="rId23" Type="http://schemas.openxmlformats.org/officeDocument/2006/relationships/hyperlink" Target="#'Notes -Goal Seek, Solver'!A1"/><Relationship Id="rId10" Type="http://schemas.openxmlformats.org/officeDocument/2006/relationships/image" Target="../media/image36.png"/><Relationship Id="rId19" Type="http://schemas.openxmlformats.org/officeDocument/2006/relationships/image" Target="../media/image23.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 Id="rId22" Type="http://schemas.openxmlformats.org/officeDocument/2006/relationships/hyperlink" Target="#Cover!A1"/></Relationships>
</file>

<file path=xl/drawings/_rels/drawing34.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hyperlink" Target="#'Assignment Gallery'!A1"/><Relationship Id="rId3" Type="http://schemas.openxmlformats.org/officeDocument/2006/relationships/hyperlink" Target="#'Assignment-Budget'!A1"/><Relationship Id="rId7" Type="http://schemas.openxmlformats.org/officeDocument/2006/relationships/hyperlink" Target="#'Assignment-Lookup'!A1"/><Relationship Id="rId12" Type="http://schemas.openxmlformats.org/officeDocument/2006/relationships/hyperlink" Target="#'Notes -Pivot Table'!A1"/><Relationship Id="rId2" Type="http://schemas.openxmlformats.org/officeDocument/2006/relationships/image" Target="../media/image41.png"/><Relationship Id="rId1" Type="http://schemas.openxmlformats.org/officeDocument/2006/relationships/hyperlink" Target="#'Assignment-Sales Data'!A1"/><Relationship Id="rId6" Type="http://schemas.openxmlformats.org/officeDocument/2006/relationships/image" Target="../media/image43.png"/><Relationship Id="rId11" Type="http://schemas.openxmlformats.org/officeDocument/2006/relationships/hyperlink" Target="#Cover!A1"/><Relationship Id="rId5" Type="http://schemas.openxmlformats.org/officeDocument/2006/relationships/hyperlink" Target="#'Assignment-Logic'!A1"/><Relationship Id="rId10" Type="http://schemas.openxmlformats.org/officeDocument/2006/relationships/image" Target="../media/image45.png"/><Relationship Id="rId4" Type="http://schemas.openxmlformats.org/officeDocument/2006/relationships/image" Target="../media/image42.png"/><Relationship Id="rId9" Type="http://schemas.openxmlformats.org/officeDocument/2006/relationships/hyperlink" Target="#'Assignment-Text'!A1"/></Relationships>
</file>

<file path=xl/drawings/_rels/drawing35.xml.rels><?xml version="1.0" encoding="UTF-8" standalone="yes"?>
<Relationships xmlns="http://schemas.openxmlformats.org/package/2006/relationships"><Relationship Id="rId3" Type="http://schemas.openxmlformats.org/officeDocument/2006/relationships/hyperlink" Target="#'Assignment Gallery'!A1"/><Relationship Id="rId2" Type="http://schemas.openxmlformats.org/officeDocument/2006/relationships/hyperlink" Target="#Cover!A1"/><Relationship Id="rId1" Type="http://schemas.openxmlformats.org/officeDocument/2006/relationships/image" Target="../media/image1.png"/><Relationship Id="rId5" Type="http://schemas.openxmlformats.org/officeDocument/2006/relationships/hyperlink" Target="https://www.finexskillshub.com/" TargetMode="External"/><Relationship Id="rId4" Type="http://schemas.openxmlformats.org/officeDocument/2006/relationships/hyperlink" Target="#'Assignment-Budget'!A1"/></Relationships>
</file>

<file path=xl/drawings/_rels/drawing36.xml.rels><?xml version="1.0" encoding="UTF-8" standalone="yes"?>
<Relationships xmlns="http://schemas.openxmlformats.org/package/2006/relationships"><Relationship Id="rId8" Type="http://schemas.openxmlformats.org/officeDocument/2006/relationships/hyperlink" Target="#'Assignment-Logic'!A1"/><Relationship Id="rId3" Type="http://schemas.openxmlformats.org/officeDocument/2006/relationships/hyperlink" Target="https://www.youtube.com/channel/UCdM431C5PJmxNstOz1WDWTQ" TargetMode="External"/><Relationship Id="rId7" Type="http://schemas.openxmlformats.org/officeDocument/2006/relationships/hyperlink" Target="#'Assignment-Sales Data'!A1"/><Relationship Id="rId2" Type="http://schemas.openxmlformats.org/officeDocument/2006/relationships/image" Target="../media/image22.png"/><Relationship Id="rId1" Type="http://schemas.openxmlformats.org/officeDocument/2006/relationships/hyperlink" Target="https://www.youtube.com/@FinexSkillsHub/search?query=budget" TargetMode="External"/><Relationship Id="rId6" Type="http://schemas.openxmlformats.org/officeDocument/2006/relationships/hyperlink" Target="#Cover!A1"/><Relationship Id="rId5" Type="http://schemas.openxmlformats.org/officeDocument/2006/relationships/image" Target="../media/image1.png"/><Relationship Id="rId10" Type="http://schemas.openxmlformats.org/officeDocument/2006/relationships/hyperlink" Target="https://www.finexskillshub.com/" TargetMode="External"/><Relationship Id="rId4" Type="http://schemas.openxmlformats.org/officeDocument/2006/relationships/image" Target="../media/image23.png"/><Relationship Id="rId9" Type="http://schemas.openxmlformats.org/officeDocument/2006/relationships/hyperlink" Target="#'Assignment Gallery'!A1"/></Relationships>
</file>

<file path=xl/drawings/_rels/drawing37.xml.rels><?xml version="1.0" encoding="UTF-8" standalone="yes"?>
<Relationships xmlns="http://schemas.openxmlformats.org/package/2006/relationships"><Relationship Id="rId3" Type="http://schemas.openxmlformats.org/officeDocument/2006/relationships/hyperlink" Target="#'Assignment-Budget'!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Assignment Gallery'!A1"/><Relationship Id="rId4" Type="http://schemas.openxmlformats.org/officeDocument/2006/relationships/hyperlink" Target="#'Assignment-Lookup'!A1"/></Relationships>
</file>

<file path=xl/drawings/_rels/drawing38.xml.rels><?xml version="1.0" encoding="UTF-8" standalone="yes"?>
<Relationships xmlns="http://schemas.openxmlformats.org/package/2006/relationships"><Relationship Id="rId3" Type="http://schemas.openxmlformats.org/officeDocument/2006/relationships/hyperlink" Target="#'Assignment-Logic'!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Assignment Gallery'!A1"/><Relationship Id="rId4" Type="http://schemas.openxmlformats.org/officeDocument/2006/relationships/hyperlink" Target="#'Assignment-Text'!A1"/></Relationships>
</file>

<file path=xl/drawings/_rels/drawing39.xml.rels><?xml version="1.0" encoding="UTF-8" standalone="yes"?>
<Relationships xmlns="http://schemas.openxmlformats.org/package/2006/relationships"><Relationship Id="rId3" Type="http://schemas.openxmlformats.org/officeDocument/2006/relationships/hyperlink" Target="#'Assignment-Lookup'!A1"/><Relationship Id="rId2" Type="http://schemas.openxmlformats.org/officeDocument/2006/relationships/hyperlink" Target="#Cover!A1"/><Relationship Id="rId1" Type="http://schemas.openxmlformats.org/officeDocument/2006/relationships/image" Target="../media/image1.png"/><Relationship Id="rId6" Type="http://schemas.openxmlformats.org/officeDocument/2006/relationships/hyperlink" Target="https://www.finexskillshub.com/" TargetMode="External"/><Relationship Id="rId5" Type="http://schemas.openxmlformats.org/officeDocument/2006/relationships/hyperlink" Target="#'Assignment Gallery'!A1"/><Relationship Id="rId4" Type="http://schemas.openxmlformats.org/officeDocument/2006/relationships/hyperlink" Target="#'Video Gallery'!A1"/></Relationships>
</file>

<file path=xl/drawings/_rels/drawing40.xml.rels><?xml version="1.0" encoding="UTF-8" standalone="yes"?>
<Relationships xmlns="http://schemas.openxmlformats.org/package/2006/relationships"><Relationship Id="rId13" Type="http://schemas.openxmlformats.org/officeDocument/2006/relationships/hyperlink" Target="https://youtu.be/aCrAgwBI6Zo" TargetMode="External"/><Relationship Id="rId18" Type="http://schemas.openxmlformats.org/officeDocument/2006/relationships/image" Target="../media/image56.png"/><Relationship Id="rId26" Type="http://schemas.openxmlformats.org/officeDocument/2006/relationships/hyperlink" Target="https://www.youtube.com/watch?v=8_RVPhPXP5s&amp;list=PLAIOqEyl_Pb984WuINlFc-zHHv_861L0A&amp;index=29" TargetMode="External"/><Relationship Id="rId21" Type="http://schemas.openxmlformats.org/officeDocument/2006/relationships/image" Target="../media/image58.png"/><Relationship Id="rId34" Type="http://schemas.openxmlformats.org/officeDocument/2006/relationships/image" Target="../media/image67.svg"/><Relationship Id="rId7" Type="http://schemas.openxmlformats.org/officeDocument/2006/relationships/hyperlink" Target="https://www.youtube.com/watch?v=NNK3tSKbhwM" TargetMode="External"/><Relationship Id="rId12" Type="http://schemas.openxmlformats.org/officeDocument/2006/relationships/image" Target="../media/image53.svg"/><Relationship Id="rId17" Type="http://schemas.openxmlformats.org/officeDocument/2006/relationships/hyperlink" Target="https://www.youtube.com/watch?v=Db8MljDYkYg&amp;list=PLAIOqEyl_Pb984WuINlFc-zHHv_861L0A&amp;index=5" TargetMode="External"/><Relationship Id="rId25" Type="http://schemas.openxmlformats.org/officeDocument/2006/relationships/image" Target="../media/image61.svg"/><Relationship Id="rId33" Type="http://schemas.openxmlformats.org/officeDocument/2006/relationships/image" Target="../media/image66.png"/><Relationship Id="rId2" Type="http://schemas.openxmlformats.org/officeDocument/2006/relationships/image" Target="../media/image46.png"/><Relationship Id="rId16" Type="http://schemas.openxmlformats.org/officeDocument/2006/relationships/hyperlink" Target="#'Video Gallery'!A1"/><Relationship Id="rId20" Type="http://schemas.openxmlformats.org/officeDocument/2006/relationships/hyperlink" Target="https://www.youtube.com/watch?v=V29uGUwC3fQ&amp;list=PLAIOqEyl_Pb984WuINlFc-zHHv_861L0A&amp;index=44" TargetMode="External"/><Relationship Id="rId29" Type="http://schemas.openxmlformats.org/officeDocument/2006/relationships/hyperlink" Target="https://www.youtube.com/watch?v=PVEO3U_8_aA" TargetMode="External"/><Relationship Id="rId1" Type="http://schemas.openxmlformats.org/officeDocument/2006/relationships/hyperlink" Target="https://www.youtube.com/watch?v=qkku_x3WJOA" TargetMode="External"/><Relationship Id="rId6" Type="http://schemas.openxmlformats.org/officeDocument/2006/relationships/image" Target="../media/image49.svg"/><Relationship Id="rId11" Type="http://schemas.openxmlformats.org/officeDocument/2006/relationships/image" Target="../media/image52.png"/><Relationship Id="rId24" Type="http://schemas.openxmlformats.org/officeDocument/2006/relationships/image" Target="../media/image60.png"/><Relationship Id="rId32" Type="http://schemas.openxmlformats.org/officeDocument/2006/relationships/hyperlink" Target="https://www.youtube.com/watch?v=rOXTV-TEldA" TargetMode="External"/><Relationship Id="rId37" Type="http://schemas.openxmlformats.org/officeDocument/2006/relationships/hyperlink" Target="#'About Us'!A1"/><Relationship Id="rId5" Type="http://schemas.openxmlformats.org/officeDocument/2006/relationships/image" Target="../media/image48.png"/><Relationship Id="rId15" Type="http://schemas.openxmlformats.org/officeDocument/2006/relationships/image" Target="../media/image55.svg"/><Relationship Id="rId23" Type="http://schemas.openxmlformats.org/officeDocument/2006/relationships/hyperlink" Target="https://www.youtube.com/watch?v=VtptdJYU0yA&amp;list=PLAIOqEyl_Pb984WuINlFc-zHHv_861L0A&amp;index=31" TargetMode="External"/><Relationship Id="rId28" Type="http://schemas.openxmlformats.org/officeDocument/2006/relationships/image" Target="../media/image63.svg"/><Relationship Id="rId36" Type="http://schemas.openxmlformats.org/officeDocument/2006/relationships/hyperlink" Target="#'Assignment-Text'!A1"/><Relationship Id="rId10" Type="http://schemas.openxmlformats.org/officeDocument/2006/relationships/hyperlink" Target="https://www.youtube.com/watch?v=amovZu6NXFQ" TargetMode="External"/><Relationship Id="rId19" Type="http://schemas.openxmlformats.org/officeDocument/2006/relationships/image" Target="../media/image57.svg"/><Relationship Id="rId31" Type="http://schemas.openxmlformats.org/officeDocument/2006/relationships/image" Target="../media/image65.svg"/><Relationship Id="rId4" Type="http://schemas.openxmlformats.org/officeDocument/2006/relationships/hyperlink" Target="https://www.youtube.com/watch?v=Wdd4ASheRiw" TargetMode="External"/><Relationship Id="rId9" Type="http://schemas.openxmlformats.org/officeDocument/2006/relationships/image" Target="../media/image51.svg"/><Relationship Id="rId14" Type="http://schemas.openxmlformats.org/officeDocument/2006/relationships/image" Target="../media/image54.png"/><Relationship Id="rId22" Type="http://schemas.openxmlformats.org/officeDocument/2006/relationships/image" Target="../media/image59.svg"/><Relationship Id="rId27" Type="http://schemas.openxmlformats.org/officeDocument/2006/relationships/image" Target="../media/image62.png"/><Relationship Id="rId30" Type="http://schemas.openxmlformats.org/officeDocument/2006/relationships/image" Target="../media/image64.png"/><Relationship Id="rId35" Type="http://schemas.openxmlformats.org/officeDocument/2006/relationships/hyperlink" Target="#Cover!A1"/><Relationship Id="rId8" Type="http://schemas.openxmlformats.org/officeDocument/2006/relationships/image" Target="../media/image50.png"/><Relationship Id="rId3" Type="http://schemas.openxmlformats.org/officeDocument/2006/relationships/image" Target="../media/image47.svg"/></Relationships>
</file>

<file path=xl/drawings/_rels/drawing41.xml.rels><?xml version="1.0" encoding="UTF-8" standalone="yes"?>
<Relationships xmlns="http://schemas.openxmlformats.org/package/2006/relationships"><Relationship Id="rId3" Type="http://schemas.openxmlformats.org/officeDocument/2006/relationships/image" Target="../media/image70.png"/><Relationship Id="rId7" Type="http://schemas.openxmlformats.org/officeDocument/2006/relationships/hyperlink" Target="https://www.finexskillshub.com/" TargetMode="External"/><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hyperlink" Target="#'About Us'!A1"/><Relationship Id="rId5" Type="http://schemas.openxmlformats.org/officeDocument/2006/relationships/hyperlink" Target="#'Video Gallery'!A1"/><Relationship Id="rId4" Type="http://schemas.openxmlformats.org/officeDocument/2006/relationships/hyperlink" Target="#Cover!A1"/></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11</xdr:row>
      <xdr:rowOff>9525</xdr:rowOff>
    </xdr:from>
    <xdr:to>
      <xdr:col>7</xdr:col>
      <xdr:colOff>2962649</xdr:colOff>
      <xdr:row>11</xdr:row>
      <xdr:rowOff>233075</xdr:rowOff>
    </xdr:to>
    <xdr:grpSp>
      <xdr:nvGrpSpPr>
        <xdr:cNvPr id="8" name="Group 7">
          <a:hlinkClick xmlns:r="http://schemas.openxmlformats.org/officeDocument/2006/relationships" r:id="rId1" tooltip="Go to Table of Content"/>
          <a:extLst>
            <a:ext uri="{FF2B5EF4-FFF2-40B4-BE49-F238E27FC236}">
              <a16:creationId xmlns:a16="http://schemas.microsoft.com/office/drawing/2014/main" id="{7AD9E91C-79CF-4D8B-A772-D904128CF3C9}"/>
            </a:ext>
          </a:extLst>
        </xdr:cNvPr>
        <xdr:cNvGrpSpPr/>
      </xdr:nvGrpSpPr>
      <xdr:grpSpPr>
        <a:xfrm>
          <a:off x="19049" y="1927225"/>
          <a:ext cx="8379200" cy="223550"/>
          <a:chOff x="104438" y="2114550"/>
          <a:chExt cx="8172830" cy="623478"/>
        </a:xfrm>
      </xdr:grpSpPr>
      <xdr:sp macro="" textlink="">
        <xdr:nvSpPr>
          <xdr:cNvPr id="2" name="Rectangle 1">
            <a:extLst>
              <a:ext uri="{FF2B5EF4-FFF2-40B4-BE49-F238E27FC236}">
                <a16:creationId xmlns:a16="http://schemas.microsoft.com/office/drawing/2014/main" id="{F32AAC20-861A-4221-9208-3BCA4096C6B2}"/>
              </a:ext>
            </a:extLst>
          </xdr:cNvPr>
          <xdr:cNvSpPr/>
        </xdr:nvSpPr>
        <xdr:spPr>
          <a:xfrm>
            <a:off x="104438" y="2135607"/>
            <a:ext cx="8172830"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AC617185-9EF3-4F2D-BCBE-91B978649EBE}"/>
              </a:ext>
            </a:extLst>
          </xdr:cNvPr>
          <xdr:cNvSpPr/>
        </xdr:nvSpPr>
        <xdr:spPr>
          <a:xfrm>
            <a:off x="4267200" y="2114550"/>
            <a:ext cx="36211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148FF535-648D-451D-BB0B-3D4B83CBC30C}"/>
              </a:ext>
            </a:extLst>
          </xdr:cNvPr>
          <xdr:cNvSpPr txBox="1"/>
        </xdr:nvSpPr>
        <xdr:spPr>
          <a:xfrm>
            <a:off x="2789371" y="2162175"/>
            <a:ext cx="1484652" cy="505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latin typeface="Comic Sans MS" panose="030F0702030302020204" pitchFamily="66" charset="0"/>
              </a:rPr>
              <a:t>Go</a:t>
            </a:r>
            <a:r>
              <a:rPr lang="en-US" sz="800" baseline="0">
                <a:solidFill>
                  <a:schemeClr val="bg1"/>
                </a:solidFill>
                <a:latin typeface="Comic Sans MS" panose="030F0702030302020204" pitchFamily="66" charset="0"/>
              </a:rPr>
              <a:t> to Table of Content</a:t>
            </a:r>
            <a:endParaRPr lang="en-GH" sz="800">
              <a:solidFill>
                <a:schemeClr val="bg1"/>
              </a:solidFill>
              <a:latin typeface="Comic Sans MS" panose="030F0702030302020204" pitchFamily="66" charset="0"/>
            </a:endParaRPr>
          </a:p>
        </xdr:txBody>
      </xdr:sp>
    </xdr:grpSp>
    <xdr:clientData/>
  </xdr:twoCellAnchor>
  <xdr:absoluteAnchor>
    <xdr:pos x="342900" y="200025"/>
    <xdr:ext cx="361950" cy="390525"/>
    <xdr:pic>
      <xdr:nvPicPr>
        <xdr:cNvPr id="3" name="Picture 2">
          <a:extLst>
            <a:ext uri="{FF2B5EF4-FFF2-40B4-BE49-F238E27FC236}">
              <a16:creationId xmlns:a16="http://schemas.microsoft.com/office/drawing/2014/main" id="{CCC8C956-1427-4E8B-A351-45C16C782E1B}"/>
            </a:ext>
          </a:extLst>
        </xdr:cNvPr>
        <xdr:cNvPicPr preferRelativeResize="0">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2900" y="200025"/>
          <a:ext cx="361950" cy="390525"/>
        </a:xfrm>
        <a:prstGeom prst="rect">
          <a:avLst/>
        </a:prstGeom>
      </xdr:spPr>
    </xdr:pic>
    <xdr:clientData/>
  </xdr:absoluteAnchor>
  <xdr:twoCellAnchor editAs="absolute">
    <xdr:from>
      <xdr:col>0</xdr:col>
      <xdr:colOff>66674</xdr:colOff>
      <xdr:row>12</xdr:row>
      <xdr:rowOff>73025</xdr:rowOff>
    </xdr:from>
    <xdr:to>
      <xdr:col>7</xdr:col>
      <xdr:colOff>3009449</xdr:colOff>
      <xdr:row>13</xdr:row>
      <xdr:rowOff>210850</xdr:rowOff>
    </xdr:to>
    <xdr:grpSp>
      <xdr:nvGrpSpPr>
        <xdr:cNvPr id="15" name="Group 14">
          <a:hlinkClick xmlns:r="http://schemas.openxmlformats.org/officeDocument/2006/relationships" r:id="rId3" tooltip="Go to Notes"/>
          <a:extLst>
            <a:ext uri="{FF2B5EF4-FFF2-40B4-BE49-F238E27FC236}">
              <a16:creationId xmlns:a16="http://schemas.microsoft.com/office/drawing/2014/main" id="{7EC0962E-3A65-47C7-9474-9F43E603B545}"/>
            </a:ext>
          </a:extLst>
        </xdr:cNvPr>
        <xdr:cNvGrpSpPr/>
      </xdr:nvGrpSpPr>
      <xdr:grpSpPr>
        <a:xfrm>
          <a:off x="66674" y="2276475"/>
          <a:ext cx="8378375" cy="233075"/>
          <a:chOff x="161925" y="2114550"/>
          <a:chExt cx="8172000" cy="650043"/>
        </a:xfrm>
      </xdr:grpSpPr>
      <xdr:sp macro="" textlink="">
        <xdr:nvSpPr>
          <xdr:cNvPr id="16" name="Rectangle 15">
            <a:extLst>
              <a:ext uri="{FF2B5EF4-FFF2-40B4-BE49-F238E27FC236}">
                <a16:creationId xmlns:a16="http://schemas.microsoft.com/office/drawing/2014/main" id="{B01D4132-9274-E867-FED8-026BFDF33424}"/>
              </a:ext>
            </a:extLst>
          </xdr:cNvPr>
          <xdr:cNvSpPr/>
        </xdr:nvSpPr>
        <xdr:spPr>
          <a:xfrm>
            <a:off x="161925" y="2162172"/>
            <a:ext cx="8172000"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7" name="Graphic 3" descr="Back with solid fill">
            <a:extLst>
              <a:ext uri="{FF2B5EF4-FFF2-40B4-BE49-F238E27FC236}">
                <a16:creationId xmlns:a16="http://schemas.microsoft.com/office/drawing/2014/main" id="{EF5A9DD6-F62F-5D08-21E3-24FCE71D6780}"/>
              </a:ext>
            </a:extLst>
          </xdr:cNvPr>
          <xdr:cNvSpPr/>
        </xdr:nvSpPr>
        <xdr:spPr>
          <a:xfrm>
            <a:off x="4267200" y="2114550"/>
            <a:ext cx="36211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8" name="TextBox 17">
            <a:extLst>
              <a:ext uri="{FF2B5EF4-FFF2-40B4-BE49-F238E27FC236}">
                <a16:creationId xmlns:a16="http://schemas.microsoft.com/office/drawing/2014/main" id="{9E075108-AB63-3CC8-8EBD-876FF3D4063D}"/>
              </a:ext>
            </a:extLst>
          </xdr:cNvPr>
          <xdr:cNvSpPr txBox="1"/>
        </xdr:nvSpPr>
        <xdr:spPr>
          <a:xfrm>
            <a:off x="2779790" y="2162175"/>
            <a:ext cx="1484652" cy="50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latin typeface="Comic Sans MS" panose="030F0702030302020204" pitchFamily="66" charset="0"/>
              </a:rPr>
              <a:t>Go</a:t>
            </a:r>
            <a:r>
              <a:rPr lang="en-US" sz="800" baseline="0">
                <a:solidFill>
                  <a:schemeClr val="bg1"/>
                </a:solidFill>
                <a:latin typeface="Comic Sans MS" panose="030F0702030302020204" pitchFamily="66" charset="0"/>
              </a:rPr>
              <a:t> to Notes</a:t>
            </a:r>
            <a:endParaRPr lang="en-GH" sz="800">
              <a:solidFill>
                <a:schemeClr val="bg1"/>
              </a:solidFill>
              <a:latin typeface="Comic Sans MS" panose="030F0702030302020204" pitchFamily="66" charset="0"/>
            </a:endParaRPr>
          </a:p>
        </xdr:txBody>
      </xdr:sp>
    </xdr:grpSp>
    <xdr:clientData/>
  </xdr:twoCellAnchor>
  <xdr:twoCellAnchor editAs="absolute">
    <xdr:from>
      <xdr:col>0</xdr:col>
      <xdr:colOff>57149</xdr:colOff>
      <xdr:row>14</xdr:row>
      <xdr:rowOff>76200</xdr:rowOff>
    </xdr:from>
    <xdr:to>
      <xdr:col>7</xdr:col>
      <xdr:colOff>2999924</xdr:colOff>
      <xdr:row>15</xdr:row>
      <xdr:rowOff>214025</xdr:rowOff>
    </xdr:to>
    <xdr:grpSp>
      <xdr:nvGrpSpPr>
        <xdr:cNvPr id="19" name="Group 18">
          <a:hlinkClick xmlns:r="http://schemas.openxmlformats.org/officeDocument/2006/relationships" r:id="rId4" tooltip="Go to Video Gallery"/>
          <a:extLst>
            <a:ext uri="{FF2B5EF4-FFF2-40B4-BE49-F238E27FC236}">
              <a16:creationId xmlns:a16="http://schemas.microsoft.com/office/drawing/2014/main" id="{86484BBE-9A4E-4BFD-AE2B-D49255BE4F92}"/>
            </a:ext>
          </a:extLst>
        </xdr:cNvPr>
        <xdr:cNvGrpSpPr/>
      </xdr:nvGrpSpPr>
      <xdr:grpSpPr>
        <a:xfrm>
          <a:off x="57149" y="2660650"/>
          <a:ext cx="8378375" cy="233075"/>
          <a:chOff x="161925" y="2114550"/>
          <a:chExt cx="8172000" cy="650043"/>
        </a:xfrm>
      </xdr:grpSpPr>
      <xdr:sp macro="" textlink="">
        <xdr:nvSpPr>
          <xdr:cNvPr id="20" name="Rectangle 19">
            <a:extLst>
              <a:ext uri="{FF2B5EF4-FFF2-40B4-BE49-F238E27FC236}">
                <a16:creationId xmlns:a16="http://schemas.microsoft.com/office/drawing/2014/main" id="{33A9FED5-E35B-0708-2A89-72583239AB65}"/>
              </a:ext>
            </a:extLst>
          </xdr:cNvPr>
          <xdr:cNvSpPr/>
        </xdr:nvSpPr>
        <xdr:spPr>
          <a:xfrm>
            <a:off x="161925" y="2162172"/>
            <a:ext cx="8172000"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1" name="Graphic 3" descr="Back with solid fill">
            <a:extLst>
              <a:ext uri="{FF2B5EF4-FFF2-40B4-BE49-F238E27FC236}">
                <a16:creationId xmlns:a16="http://schemas.microsoft.com/office/drawing/2014/main" id="{B6C3A0CD-1753-ABB5-293D-620018148AA2}"/>
              </a:ext>
            </a:extLst>
          </xdr:cNvPr>
          <xdr:cNvSpPr/>
        </xdr:nvSpPr>
        <xdr:spPr>
          <a:xfrm>
            <a:off x="4267200" y="2114550"/>
            <a:ext cx="36211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22" name="TextBox 21">
            <a:extLst>
              <a:ext uri="{FF2B5EF4-FFF2-40B4-BE49-F238E27FC236}">
                <a16:creationId xmlns:a16="http://schemas.microsoft.com/office/drawing/2014/main" id="{0C15450F-AEE3-334E-EA61-2821DBA7CD33}"/>
              </a:ext>
            </a:extLst>
          </xdr:cNvPr>
          <xdr:cNvSpPr txBox="1"/>
        </xdr:nvSpPr>
        <xdr:spPr>
          <a:xfrm>
            <a:off x="2789371" y="2162175"/>
            <a:ext cx="1484652" cy="50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latin typeface="Comic Sans MS" panose="030F0702030302020204" pitchFamily="66" charset="0"/>
              </a:rPr>
              <a:t>Go</a:t>
            </a:r>
            <a:r>
              <a:rPr lang="en-US" sz="800" baseline="0">
                <a:solidFill>
                  <a:schemeClr val="bg1"/>
                </a:solidFill>
                <a:latin typeface="Comic Sans MS" panose="030F0702030302020204" pitchFamily="66" charset="0"/>
              </a:rPr>
              <a:t> to Video Gallery</a:t>
            </a:r>
            <a:endParaRPr lang="en-GH" sz="800">
              <a:solidFill>
                <a:schemeClr val="bg1"/>
              </a:solidFill>
              <a:latin typeface="Comic Sans MS" panose="030F0702030302020204" pitchFamily="66" charset="0"/>
            </a:endParaRPr>
          </a:p>
        </xdr:txBody>
      </xdr:sp>
    </xdr:grpSp>
    <xdr:clientData/>
  </xdr:twoCellAnchor>
  <xdr:twoCellAnchor editAs="absolute">
    <xdr:from>
      <xdr:col>0</xdr:col>
      <xdr:colOff>66674</xdr:colOff>
      <xdr:row>16</xdr:row>
      <xdr:rowOff>76200</xdr:rowOff>
    </xdr:from>
    <xdr:to>
      <xdr:col>7</xdr:col>
      <xdr:colOff>3009449</xdr:colOff>
      <xdr:row>17</xdr:row>
      <xdr:rowOff>214025</xdr:rowOff>
    </xdr:to>
    <xdr:grpSp>
      <xdr:nvGrpSpPr>
        <xdr:cNvPr id="11" name="Group 10">
          <a:hlinkClick xmlns:r="http://schemas.openxmlformats.org/officeDocument/2006/relationships" r:id="rId5" tooltip="Go to Assignment Gallery"/>
          <a:extLst>
            <a:ext uri="{FF2B5EF4-FFF2-40B4-BE49-F238E27FC236}">
              <a16:creationId xmlns:a16="http://schemas.microsoft.com/office/drawing/2014/main" id="{38CA5A0F-65AE-471A-9CCA-7E899985FC4E}"/>
            </a:ext>
          </a:extLst>
        </xdr:cNvPr>
        <xdr:cNvGrpSpPr/>
      </xdr:nvGrpSpPr>
      <xdr:grpSpPr>
        <a:xfrm>
          <a:off x="66674" y="3041650"/>
          <a:ext cx="8378375" cy="233075"/>
          <a:chOff x="161925" y="2114550"/>
          <a:chExt cx="8172000" cy="650043"/>
        </a:xfrm>
      </xdr:grpSpPr>
      <xdr:sp macro="" textlink="">
        <xdr:nvSpPr>
          <xdr:cNvPr id="12" name="Rectangle 11">
            <a:extLst>
              <a:ext uri="{FF2B5EF4-FFF2-40B4-BE49-F238E27FC236}">
                <a16:creationId xmlns:a16="http://schemas.microsoft.com/office/drawing/2014/main" id="{CD5BEC13-6B9D-58DE-119C-2979B88B8F2F}"/>
              </a:ext>
            </a:extLst>
          </xdr:cNvPr>
          <xdr:cNvSpPr/>
        </xdr:nvSpPr>
        <xdr:spPr>
          <a:xfrm>
            <a:off x="161925" y="2162172"/>
            <a:ext cx="8172000"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630D71B9-6892-17EE-5E5A-FFA2FB11D877}"/>
              </a:ext>
            </a:extLst>
          </xdr:cNvPr>
          <xdr:cNvSpPr/>
        </xdr:nvSpPr>
        <xdr:spPr>
          <a:xfrm>
            <a:off x="4267200" y="2114550"/>
            <a:ext cx="36211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301CB2C5-6C1C-E538-F5AC-5C4B4F475F40}"/>
              </a:ext>
            </a:extLst>
          </xdr:cNvPr>
          <xdr:cNvSpPr txBox="1"/>
        </xdr:nvSpPr>
        <xdr:spPr>
          <a:xfrm>
            <a:off x="2779790" y="2162175"/>
            <a:ext cx="1484652" cy="50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latin typeface="Comic Sans MS" panose="030F0702030302020204" pitchFamily="66" charset="0"/>
              </a:rPr>
              <a:t>Go</a:t>
            </a:r>
            <a:r>
              <a:rPr lang="en-US" sz="800" baseline="0">
                <a:solidFill>
                  <a:schemeClr val="bg1"/>
                </a:solidFill>
                <a:latin typeface="Comic Sans MS" panose="030F0702030302020204" pitchFamily="66" charset="0"/>
              </a:rPr>
              <a:t> to Assignment Gallery</a:t>
            </a:r>
            <a:endParaRPr lang="en-GH" sz="800">
              <a:solidFill>
                <a:schemeClr val="bg1"/>
              </a:solidFill>
              <a:latin typeface="Comic Sans MS" panose="030F0702030302020204" pitchFamily="66" charset="0"/>
            </a:endParaRPr>
          </a:p>
        </xdr:txBody>
      </xdr:sp>
    </xdr:grpSp>
    <xdr:clientData/>
  </xdr:twoCellAnchor>
  <xdr:twoCellAnchor editAs="absolute">
    <xdr:from>
      <xdr:col>0</xdr:col>
      <xdr:colOff>66674</xdr:colOff>
      <xdr:row>18</xdr:row>
      <xdr:rowOff>85725</xdr:rowOff>
    </xdr:from>
    <xdr:to>
      <xdr:col>7</xdr:col>
      <xdr:colOff>3009449</xdr:colOff>
      <xdr:row>19</xdr:row>
      <xdr:rowOff>223550</xdr:rowOff>
    </xdr:to>
    <xdr:grpSp>
      <xdr:nvGrpSpPr>
        <xdr:cNvPr id="4" name="Group 3">
          <a:hlinkClick xmlns:r="http://schemas.openxmlformats.org/officeDocument/2006/relationships" r:id="rId6" tooltip="Go to About Us"/>
          <a:extLst>
            <a:ext uri="{FF2B5EF4-FFF2-40B4-BE49-F238E27FC236}">
              <a16:creationId xmlns:a16="http://schemas.microsoft.com/office/drawing/2014/main" id="{B19D6CB9-BEEE-805A-0250-43E082FC6EAC}"/>
            </a:ext>
          </a:extLst>
        </xdr:cNvPr>
        <xdr:cNvGrpSpPr/>
      </xdr:nvGrpSpPr>
      <xdr:grpSpPr>
        <a:xfrm>
          <a:off x="66674" y="3432175"/>
          <a:ext cx="8378375" cy="233075"/>
          <a:chOff x="161925" y="2114550"/>
          <a:chExt cx="8172000" cy="650043"/>
        </a:xfrm>
      </xdr:grpSpPr>
      <xdr:sp macro="" textlink="">
        <xdr:nvSpPr>
          <xdr:cNvPr id="7" name="Rectangle 6">
            <a:extLst>
              <a:ext uri="{FF2B5EF4-FFF2-40B4-BE49-F238E27FC236}">
                <a16:creationId xmlns:a16="http://schemas.microsoft.com/office/drawing/2014/main" id="{8F850545-CD62-AA17-D7DB-9EE1EDB95424}"/>
              </a:ext>
            </a:extLst>
          </xdr:cNvPr>
          <xdr:cNvSpPr/>
        </xdr:nvSpPr>
        <xdr:spPr>
          <a:xfrm>
            <a:off x="161925" y="2162172"/>
            <a:ext cx="8172000"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E2CFC977-2AC0-0E0C-DBA2-CE3A1D37E434}"/>
              </a:ext>
            </a:extLst>
          </xdr:cNvPr>
          <xdr:cNvSpPr/>
        </xdr:nvSpPr>
        <xdr:spPr>
          <a:xfrm>
            <a:off x="4267200" y="2114550"/>
            <a:ext cx="36211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EBCBDB07-C1C1-F80B-5E68-D43BF278021F}"/>
              </a:ext>
            </a:extLst>
          </xdr:cNvPr>
          <xdr:cNvSpPr txBox="1"/>
        </xdr:nvSpPr>
        <xdr:spPr>
          <a:xfrm>
            <a:off x="2779790" y="2162175"/>
            <a:ext cx="1484652" cy="50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latin typeface="Comic Sans MS" panose="030F0702030302020204" pitchFamily="66" charset="0"/>
              </a:rPr>
              <a:t>Go</a:t>
            </a:r>
            <a:r>
              <a:rPr lang="en-US" sz="800" baseline="0">
                <a:solidFill>
                  <a:schemeClr val="bg1"/>
                </a:solidFill>
                <a:latin typeface="Comic Sans MS" panose="030F0702030302020204" pitchFamily="66" charset="0"/>
              </a:rPr>
              <a:t> to About Us</a:t>
            </a:r>
            <a:endParaRPr lang="en-GH" sz="800">
              <a:solidFill>
                <a:schemeClr val="bg1"/>
              </a:solidFill>
              <a:latin typeface="Comic Sans MS" panose="030F0702030302020204" pitchFamily="66" charset="0"/>
            </a:endParaRPr>
          </a:p>
        </xdr:txBody>
      </xdr:sp>
    </xdr:grpSp>
    <xdr:clientData/>
  </xdr:twoCellAnchor>
  <xdr:twoCellAnchor>
    <xdr:from>
      <xdr:col>2</xdr:col>
      <xdr:colOff>0</xdr:colOff>
      <xdr:row>1</xdr:row>
      <xdr:rowOff>0</xdr:rowOff>
    </xdr:from>
    <xdr:to>
      <xdr:col>5</xdr:col>
      <xdr:colOff>1019175</xdr:colOff>
      <xdr:row>4</xdr:row>
      <xdr:rowOff>38100</xdr:rowOff>
    </xdr:to>
    <xdr:sp macro="" textlink="">
      <xdr:nvSpPr>
        <xdr:cNvPr id="23" name="Rectangle 22">
          <a:hlinkClick xmlns:r="http://schemas.openxmlformats.org/officeDocument/2006/relationships" r:id="rId7" tooltip="Visit our website"/>
          <a:extLst>
            <a:ext uri="{FF2B5EF4-FFF2-40B4-BE49-F238E27FC236}">
              <a16:creationId xmlns:a16="http://schemas.microsoft.com/office/drawing/2014/main" id="{4CE6952E-53D9-4A6B-A85F-1B1D7BE0F3A4}"/>
            </a:ext>
          </a:extLst>
        </xdr:cNvPr>
        <xdr:cNvSpPr/>
      </xdr:nvSpPr>
      <xdr:spPr>
        <a:xfrm>
          <a:off x="161925" y="152400"/>
          <a:ext cx="2381250" cy="485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352425</xdr:colOff>
      <xdr:row>1</xdr:row>
      <xdr:rowOff>47627</xdr:rowOff>
    </xdr:from>
    <xdr:to>
      <xdr:col>12</xdr:col>
      <xdr:colOff>142869</xdr:colOff>
      <xdr:row>1</xdr:row>
      <xdr:rowOff>324077</xdr:rowOff>
    </xdr:to>
    <xdr:grpSp>
      <xdr:nvGrpSpPr>
        <xdr:cNvPr id="90" name="Group 89">
          <a:hlinkClick xmlns:r="http://schemas.openxmlformats.org/officeDocument/2006/relationships" r:id="rId1" tooltip="Go to Cover page"/>
          <a:extLst>
            <a:ext uri="{FF2B5EF4-FFF2-40B4-BE49-F238E27FC236}">
              <a16:creationId xmlns:a16="http://schemas.microsoft.com/office/drawing/2014/main" id="{4AF70670-EA63-4957-ACCC-10293210D378}"/>
            </a:ext>
          </a:extLst>
        </xdr:cNvPr>
        <xdr:cNvGrpSpPr/>
      </xdr:nvGrpSpPr>
      <xdr:grpSpPr>
        <a:xfrm>
          <a:off x="9820275" y="225427"/>
          <a:ext cx="1009644" cy="276450"/>
          <a:chOff x="3615235" y="2135609"/>
          <a:chExt cx="1011478" cy="463990"/>
        </a:xfrm>
      </xdr:grpSpPr>
      <xdr:sp macro="" textlink="">
        <xdr:nvSpPr>
          <xdr:cNvPr id="91" name="Rectangle 90">
            <a:extLst>
              <a:ext uri="{FF2B5EF4-FFF2-40B4-BE49-F238E27FC236}">
                <a16:creationId xmlns:a16="http://schemas.microsoft.com/office/drawing/2014/main" id="{DAD020F2-50F6-B40B-CE90-6F5C9DBCE596}"/>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2" name="Graphic 3" descr="Back with solid fill">
            <a:extLst>
              <a:ext uri="{FF2B5EF4-FFF2-40B4-BE49-F238E27FC236}">
                <a16:creationId xmlns:a16="http://schemas.microsoft.com/office/drawing/2014/main" id="{AB16DC8C-9141-9FAA-E077-E1E677853ECC}"/>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rgbClr val="193E64"/>
          </a:solidFill>
          <a:ln w="9525" cap="flat">
            <a:noFill/>
            <a:prstDash val="solid"/>
            <a:miter/>
          </a:ln>
        </xdr:spPr>
        <xdr:txBody>
          <a:bodyPr rtlCol="0" anchor="ctr"/>
          <a:lstStyle/>
          <a:p>
            <a:endParaRPr lang="en-GH"/>
          </a:p>
        </xdr:txBody>
      </xdr:sp>
      <xdr:sp macro="" textlink="">
        <xdr:nvSpPr>
          <xdr:cNvPr id="93" name="TextBox 92">
            <a:extLst>
              <a:ext uri="{FF2B5EF4-FFF2-40B4-BE49-F238E27FC236}">
                <a16:creationId xmlns:a16="http://schemas.microsoft.com/office/drawing/2014/main" id="{C7AB9510-6C33-FAEC-9658-B6FC534F2493}"/>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rgbClr val="193E64"/>
                </a:solidFill>
                <a:latin typeface="Comic Sans MS" panose="030F0702030302020204" pitchFamily="66" charset="0"/>
              </a:rPr>
              <a:t>Cover page</a:t>
            </a:r>
          </a:p>
        </xdr:txBody>
      </xdr:sp>
    </xdr:grpSp>
    <xdr:clientData/>
  </xdr:twoCellAnchor>
  <xdr:twoCellAnchor editAs="absolute">
    <xdr:from>
      <xdr:col>13</xdr:col>
      <xdr:colOff>272258</xdr:colOff>
      <xdr:row>1</xdr:row>
      <xdr:rowOff>2</xdr:rowOff>
    </xdr:from>
    <xdr:to>
      <xdr:col>14</xdr:col>
      <xdr:colOff>279619</xdr:colOff>
      <xdr:row>2</xdr:row>
      <xdr:rowOff>25556</xdr:rowOff>
    </xdr:to>
    <xdr:grpSp>
      <xdr:nvGrpSpPr>
        <xdr:cNvPr id="94" name="Group 93">
          <a:hlinkClick xmlns:r="http://schemas.openxmlformats.org/officeDocument/2006/relationships" r:id="rId1" tooltip="Go to Previous page"/>
          <a:extLst>
            <a:ext uri="{FF2B5EF4-FFF2-40B4-BE49-F238E27FC236}">
              <a16:creationId xmlns:a16="http://schemas.microsoft.com/office/drawing/2014/main" id="{B3D84D24-41D4-4B17-9F05-31B17CCAA019}"/>
            </a:ext>
          </a:extLst>
        </xdr:cNvPr>
        <xdr:cNvGrpSpPr/>
      </xdr:nvGrpSpPr>
      <xdr:grpSpPr>
        <a:xfrm>
          <a:off x="11568908" y="177802"/>
          <a:ext cx="616961" cy="355754"/>
          <a:chOff x="3207261" y="2135607"/>
          <a:chExt cx="689910" cy="602421"/>
        </a:xfrm>
      </xdr:grpSpPr>
      <xdr:sp macro="" textlink="">
        <xdr:nvSpPr>
          <xdr:cNvPr id="95" name="Rectangle 94">
            <a:extLst>
              <a:ext uri="{FF2B5EF4-FFF2-40B4-BE49-F238E27FC236}">
                <a16:creationId xmlns:a16="http://schemas.microsoft.com/office/drawing/2014/main" id="{0E532EA8-7CAD-0C65-F3AE-C089C4CE0CBE}"/>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6" name="Graphic 3" descr="Back with solid fill">
            <a:extLst>
              <a:ext uri="{FF2B5EF4-FFF2-40B4-BE49-F238E27FC236}">
                <a16:creationId xmlns:a16="http://schemas.microsoft.com/office/drawing/2014/main" id="{7FE418EB-FB4E-968D-3D28-3AE7CAFBE813}"/>
              </a:ext>
            </a:extLst>
          </xdr:cNvPr>
          <xdr:cNvSpPr/>
        </xdr:nvSpPr>
        <xdr:spPr>
          <a:xfrm flipH="1">
            <a:off x="3207261" y="2194483"/>
            <a:ext cx="633176" cy="483375"/>
          </a:xfrm>
          <a:prstGeom prst="rightArrow">
            <a:avLst>
              <a:gd name="adj1" fmla="val 62251"/>
              <a:gd name="adj2" fmla="val 34815"/>
            </a:avLst>
          </a:prstGeom>
          <a:solidFill>
            <a:srgbClr val="193E64"/>
          </a:solidFill>
          <a:ln w="9525" cap="flat">
            <a:noFill/>
            <a:prstDash val="solid"/>
            <a:miter/>
          </a:ln>
        </xdr:spPr>
        <xdr:txBody>
          <a:bodyPr rtlCol="0" anchor="ctr"/>
          <a:lstStyle/>
          <a:p>
            <a:endParaRPr lang="en-GH">
              <a:solidFill>
                <a:schemeClr val="bg1"/>
              </a:solidFill>
            </a:endParaRPr>
          </a:p>
        </xdr:txBody>
      </xdr:sp>
      <xdr:sp macro="" textlink="">
        <xdr:nvSpPr>
          <xdr:cNvPr id="97" name="TextBox 96">
            <a:extLst>
              <a:ext uri="{FF2B5EF4-FFF2-40B4-BE49-F238E27FC236}">
                <a16:creationId xmlns:a16="http://schemas.microsoft.com/office/drawing/2014/main" id="{A967620E-F3FB-5EAF-C27A-0531DEF7D481}"/>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Previous</a:t>
            </a:r>
          </a:p>
        </xdr:txBody>
      </xdr:sp>
    </xdr:grpSp>
    <xdr:clientData/>
  </xdr:twoCellAnchor>
  <xdr:twoCellAnchor editAs="absolute">
    <xdr:from>
      <xdr:col>14</xdr:col>
      <xdr:colOff>507749</xdr:colOff>
      <xdr:row>1</xdr:row>
      <xdr:rowOff>0</xdr:rowOff>
    </xdr:from>
    <xdr:to>
      <xdr:col>15</xdr:col>
      <xdr:colOff>485769</xdr:colOff>
      <xdr:row>2</xdr:row>
      <xdr:rowOff>25554</xdr:rowOff>
    </xdr:to>
    <xdr:grpSp>
      <xdr:nvGrpSpPr>
        <xdr:cNvPr id="98" name="Group 97">
          <a:hlinkClick xmlns:r="http://schemas.openxmlformats.org/officeDocument/2006/relationships" r:id="rId2" tooltip="Go to Next page"/>
          <a:extLst>
            <a:ext uri="{FF2B5EF4-FFF2-40B4-BE49-F238E27FC236}">
              <a16:creationId xmlns:a16="http://schemas.microsoft.com/office/drawing/2014/main" id="{C699CBF8-F196-463B-8E5F-21C4DFF609E2}"/>
            </a:ext>
          </a:extLst>
        </xdr:cNvPr>
        <xdr:cNvGrpSpPr/>
      </xdr:nvGrpSpPr>
      <xdr:grpSpPr>
        <a:xfrm rot="10800000">
          <a:off x="12413999" y="177800"/>
          <a:ext cx="587620" cy="355754"/>
          <a:chOff x="3185180" y="2135611"/>
          <a:chExt cx="648224" cy="602421"/>
        </a:xfrm>
      </xdr:grpSpPr>
      <xdr:sp macro="" textlink="">
        <xdr:nvSpPr>
          <xdr:cNvPr id="99" name="Rectangle 98">
            <a:extLst>
              <a:ext uri="{FF2B5EF4-FFF2-40B4-BE49-F238E27FC236}">
                <a16:creationId xmlns:a16="http://schemas.microsoft.com/office/drawing/2014/main" id="{76F35D9F-432F-CA9F-81A7-51E03B7F1BF8}"/>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00" name="Graphic 3" descr="Back with solid fill">
            <a:extLst>
              <a:ext uri="{FF2B5EF4-FFF2-40B4-BE49-F238E27FC236}">
                <a16:creationId xmlns:a16="http://schemas.microsoft.com/office/drawing/2014/main" id="{4D264AC0-B0C1-526A-557E-748846CECC44}"/>
              </a:ext>
            </a:extLst>
          </xdr:cNvPr>
          <xdr:cNvSpPr/>
        </xdr:nvSpPr>
        <xdr:spPr>
          <a:xfrm flipH="1">
            <a:off x="3207263" y="2194483"/>
            <a:ext cx="626141" cy="483375"/>
          </a:xfrm>
          <a:prstGeom prst="rightArrow">
            <a:avLst>
              <a:gd name="adj1" fmla="val 62251"/>
              <a:gd name="adj2" fmla="val 34815"/>
            </a:avLst>
          </a:prstGeom>
          <a:solidFill>
            <a:srgbClr val="193E64"/>
          </a:solidFill>
          <a:ln w="9525" cap="flat">
            <a:noFill/>
            <a:prstDash val="solid"/>
            <a:miter/>
          </a:ln>
        </xdr:spPr>
        <xdr:txBody>
          <a:bodyPr rtlCol="0" anchor="ctr"/>
          <a:lstStyle/>
          <a:p>
            <a:endParaRPr lang="en-GH"/>
          </a:p>
        </xdr:txBody>
      </xdr:sp>
      <xdr:sp macro="" textlink="">
        <xdr:nvSpPr>
          <xdr:cNvPr id="101" name="TextBox 100">
            <a:extLst>
              <a:ext uri="{FF2B5EF4-FFF2-40B4-BE49-F238E27FC236}">
                <a16:creationId xmlns:a16="http://schemas.microsoft.com/office/drawing/2014/main" id="{A5926B05-D4FF-E529-B594-EE0CFF5FA20C}"/>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Next</a:t>
            </a:r>
          </a:p>
        </xdr:txBody>
      </xdr:sp>
    </xdr:grpSp>
    <xdr:clientData/>
  </xdr:twoCellAnchor>
  <xdr:twoCellAnchor editAs="absolute">
    <xdr:from>
      <xdr:col>12</xdr:col>
      <xdr:colOff>370998</xdr:colOff>
      <xdr:row>1</xdr:row>
      <xdr:rowOff>44606</xdr:rowOff>
    </xdr:from>
    <xdr:to>
      <xdr:col>13</xdr:col>
      <xdr:colOff>44129</xdr:colOff>
      <xdr:row>1</xdr:row>
      <xdr:rowOff>296878</xdr:rowOff>
    </xdr:to>
    <xdr:grpSp>
      <xdr:nvGrpSpPr>
        <xdr:cNvPr id="102" name="Group 101">
          <a:hlinkClick xmlns:r="http://schemas.openxmlformats.org/officeDocument/2006/relationships" r:id="rId3" tooltip="Go to Gallery"/>
          <a:extLst>
            <a:ext uri="{FF2B5EF4-FFF2-40B4-BE49-F238E27FC236}">
              <a16:creationId xmlns:a16="http://schemas.microsoft.com/office/drawing/2014/main" id="{ED5849E2-9DDB-409E-9C4A-1DE2BEE729BB}"/>
            </a:ext>
          </a:extLst>
        </xdr:cNvPr>
        <xdr:cNvGrpSpPr/>
      </xdr:nvGrpSpPr>
      <xdr:grpSpPr>
        <a:xfrm>
          <a:off x="11058048" y="222406"/>
          <a:ext cx="282731" cy="252272"/>
          <a:chOff x="5270413" y="829190"/>
          <a:chExt cx="251434" cy="252272"/>
        </a:xfrm>
        <a:solidFill>
          <a:srgbClr val="193E64"/>
        </a:solidFill>
      </xdr:grpSpPr>
      <xdr:sp macro="" textlink="">
        <xdr:nvSpPr>
          <xdr:cNvPr id="103" name="Rectangle 102">
            <a:extLst>
              <a:ext uri="{FF2B5EF4-FFF2-40B4-BE49-F238E27FC236}">
                <a16:creationId xmlns:a16="http://schemas.microsoft.com/office/drawing/2014/main" id="{3511ADB3-141D-0E48-6EB5-48C57F508E72}"/>
              </a:ext>
            </a:extLst>
          </xdr:cNvPr>
          <xdr:cNvSpPr/>
        </xdr:nvSpPr>
        <xdr:spPr>
          <a:xfrm>
            <a:off x="5270414"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4" name="Rectangle 103">
            <a:extLst>
              <a:ext uri="{FF2B5EF4-FFF2-40B4-BE49-F238E27FC236}">
                <a16:creationId xmlns:a16="http://schemas.microsoft.com/office/drawing/2014/main" id="{7399F109-5A73-CD49-68BC-87C598AF8478}"/>
              </a:ext>
            </a:extLst>
          </xdr:cNvPr>
          <xdr:cNvSpPr/>
        </xdr:nvSpPr>
        <xdr:spPr>
          <a:xfrm>
            <a:off x="5360130"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5" name="Rectangle 104">
            <a:extLst>
              <a:ext uri="{FF2B5EF4-FFF2-40B4-BE49-F238E27FC236}">
                <a16:creationId xmlns:a16="http://schemas.microsoft.com/office/drawing/2014/main" id="{66EFE215-C339-D9BE-92E4-7B0344843105}"/>
              </a:ext>
            </a:extLst>
          </xdr:cNvPr>
          <xdr:cNvSpPr/>
        </xdr:nvSpPr>
        <xdr:spPr>
          <a:xfrm>
            <a:off x="5449847"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6" name="Rectangle 105">
            <a:extLst>
              <a:ext uri="{FF2B5EF4-FFF2-40B4-BE49-F238E27FC236}">
                <a16:creationId xmlns:a16="http://schemas.microsoft.com/office/drawing/2014/main" id="{DEB7B03E-BB6F-4EAA-9D14-45359CE04F54}"/>
              </a:ext>
            </a:extLst>
          </xdr:cNvPr>
          <xdr:cNvSpPr/>
        </xdr:nvSpPr>
        <xdr:spPr>
          <a:xfrm>
            <a:off x="5270413"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7" name="Rectangle 106">
            <a:extLst>
              <a:ext uri="{FF2B5EF4-FFF2-40B4-BE49-F238E27FC236}">
                <a16:creationId xmlns:a16="http://schemas.microsoft.com/office/drawing/2014/main" id="{1F526F90-019C-75FF-FFEE-A183B255D7CD}"/>
              </a:ext>
            </a:extLst>
          </xdr:cNvPr>
          <xdr:cNvSpPr/>
        </xdr:nvSpPr>
        <xdr:spPr>
          <a:xfrm>
            <a:off x="5360129"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8" name="Rectangle 107">
            <a:extLst>
              <a:ext uri="{FF2B5EF4-FFF2-40B4-BE49-F238E27FC236}">
                <a16:creationId xmlns:a16="http://schemas.microsoft.com/office/drawing/2014/main" id="{2F63A325-20FF-AF87-8A60-B33F24A33BDC}"/>
              </a:ext>
            </a:extLst>
          </xdr:cNvPr>
          <xdr:cNvSpPr/>
        </xdr:nvSpPr>
        <xdr:spPr>
          <a:xfrm>
            <a:off x="5449846"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9" name="Rectangle 108">
            <a:extLst>
              <a:ext uri="{FF2B5EF4-FFF2-40B4-BE49-F238E27FC236}">
                <a16:creationId xmlns:a16="http://schemas.microsoft.com/office/drawing/2014/main" id="{E9B40EA2-D2CA-C135-05F3-CD533C3E8FBF}"/>
              </a:ext>
            </a:extLst>
          </xdr:cNvPr>
          <xdr:cNvSpPr/>
        </xdr:nvSpPr>
        <xdr:spPr>
          <a:xfrm>
            <a:off x="5270414"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0" name="Rectangle 109">
            <a:extLst>
              <a:ext uri="{FF2B5EF4-FFF2-40B4-BE49-F238E27FC236}">
                <a16:creationId xmlns:a16="http://schemas.microsoft.com/office/drawing/2014/main" id="{8C68E33C-C0B3-4A83-7FC3-14E1BF6B4C8A}"/>
              </a:ext>
            </a:extLst>
          </xdr:cNvPr>
          <xdr:cNvSpPr/>
        </xdr:nvSpPr>
        <xdr:spPr>
          <a:xfrm>
            <a:off x="5360130"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1" name="Rectangle 110">
            <a:extLst>
              <a:ext uri="{FF2B5EF4-FFF2-40B4-BE49-F238E27FC236}">
                <a16:creationId xmlns:a16="http://schemas.microsoft.com/office/drawing/2014/main" id="{E23BBC58-67E4-0D82-072E-F7EB5C74CC2B}"/>
              </a:ext>
            </a:extLst>
          </xdr:cNvPr>
          <xdr:cNvSpPr/>
        </xdr:nvSpPr>
        <xdr:spPr>
          <a:xfrm>
            <a:off x="5449847"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0</xdr:colOff>
      <xdr:row>107</xdr:row>
      <xdr:rowOff>1</xdr:rowOff>
    </xdr:from>
    <xdr:to>
      <xdr:col>6</xdr:col>
      <xdr:colOff>0</xdr:colOff>
      <xdr:row>117</xdr:row>
      <xdr:rowOff>1</xdr:rowOff>
    </xdr:to>
    <xdr:sp macro="" textlink="">
      <xdr:nvSpPr>
        <xdr:cNvPr id="2" name="Rectangle 1">
          <a:hlinkClick xmlns:r="http://schemas.openxmlformats.org/officeDocument/2006/relationships" r:id="rId4" tooltip="Go to DATA"/>
          <a:extLst>
            <a:ext uri="{FF2B5EF4-FFF2-40B4-BE49-F238E27FC236}">
              <a16:creationId xmlns:a16="http://schemas.microsoft.com/office/drawing/2014/main" id="{D0770C9E-91EA-B474-ABB0-F85AF9DF598E}"/>
            </a:ext>
          </a:extLst>
        </xdr:cNvPr>
        <xdr:cNvSpPr/>
      </xdr:nvSpPr>
      <xdr:spPr>
        <a:xfrm>
          <a:off x="0" y="16449676"/>
          <a:ext cx="5000625" cy="152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102</xdr:row>
      <xdr:rowOff>1</xdr:rowOff>
    </xdr:from>
    <xdr:to>
      <xdr:col>6</xdr:col>
      <xdr:colOff>0</xdr:colOff>
      <xdr:row>105</xdr:row>
      <xdr:rowOff>0</xdr:rowOff>
    </xdr:to>
    <xdr:sp macro="" textlink="">
      <xdr:nvSpPr>
        <xdr:cNvPr id="3" name="Rectangle 2">
          <a:hlinkClick xmlns:r="http://schemas.openxmlformats.org/officeDocument/2006/relationships" r:id="rId5" tooltip="Go to Data Tables"/>
          <a:extLst>
            <a:ext uri="{FF2B5EF4-FFF2-40B4-BE49-F238E27FC236}">
              <a16:creationId xmlns:a16="http://schemas.microsoft.com/office/drawing/2014/main" id="{175483D5-C877-E54E-D285-B25BA7DCB7AC}"/>
            </a:ext>
          </a:extLst>
        </xdr:cNvPr>
        <xdr:cNvSpPr/>
      </xdr:nvSpPr>
      <xdr:spPr>
        <a:xfrm>
          <a:off x="0" y="15687676"/>
          <a:ext cx="5000625" cy="457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97</xdr:row>
      <xdr:rowOff>1</xdr:rowOff>
    </xdr:from>
    <xdr:to>
      <xdr:col>6</xdr:col>
      <xdr:colOff>0</xdr:colOff>
      <xdr:row>100</xdr:row>
      <xdr:rowOff>0</xdr:rowOff>
    </xdr:to>
    <xdr:sp macro="" textlink="">
      <xdr:nvSpPr>
        <xdr:cNvPr id="4" name="Rectangle 3">
          <a:hlinkClick xmlns:r="http://schemas.openxmlformats.org/officeDocument/2006/relationships" r:id="rId6" tooltip="Go to Scenario Manager"/>
          <a:extLst>
            <a:ext uri="{FF2B5EF4-FFF2-40B4-BE49-F238E27FC236}">
              <a16:creationId xmlns:a16="http://schemas.microsoft.com/office/drawing/2014/main" id="{87D3E477-67C2-A0D4-9C74-06DAE44B46EC}"/>
            </a:ext>
          </a:extLst>
        </xdr:cNvPr>
        <xdr:cNvSpPr/>
      </xdr:nvSpPr>
      <xdr:spPr>
        <a:xfrm>
          <a:off x="0" y="14925676"/>
          <a:ext cx="5000625" cy="457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xdr:colOff>
      <xdr:row>92</xdr:row>
      <xdr:rowOff>1</xdr:rowOff>
    </xdr:from>
    <xdr:to>
      <xdr:col>6</xdr:col>
      <xdr:colOff>0</xdr:colOff>
      <xdr:row>95</xdr:row>
      <xdr:rowOff>1</xdr:rowOff>
    </xdr:to>
    <xdr:sp macro="" textlink="">
      <xdr:nvSpPr>
        <xdr:cNvPr id="5" name="Rectangle 4">
          <a:hlinkClick xmlns:r="http://schemas.openxmlformats.org/officeDocument/2006/relationships" r:id="rId7" tooltip="Go to Solver"/>
          <a:extLst>
            <a:ext uri="{FF2B5EF4-FFF2-40B4-BE49-F238E27FC236}">
              <a16:creationId xmlns:a16="http://schemas.microsoft.com/office/drawing/2014/main" id="{204CEDEA-8C0B-0F54-CA70-293F1E00623E}"/>
            </a:ext>
          </a:extLst>
        </xdr:cNvPr>
        <xdr:cNvSpPr/>
      </xdr:nvSpPr>
      <xdr:spPr>
        <a:xfrm>
          <a:off x="1" y="14163676"/>
          <a:ext cx="5000624"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87</xdr:row>
      <xdr:rowOff>9526</xdr:rowOff>
    </xdr:from>
    <xdr:to>
      <xdr:col>6</xdr:col>
      <xdr:colOff>0</xdr:colOff>
      <xdr:row>90</xdr:row>
      <xdr:rowOff>9525</xdr:rowOff>
    </xdr:to>
    <xdr:sp macro="" textlink="">
      <xdr:nvSpPr>
        <xdr:cNvPr id="6" name="Rectangle 5">
          <a:hlinkClick xmlns:r="http://schemas.openxmlformats.org/officeDocument/2006/relationships" r:id="rId8" tooltip="Go to Goal Seek"/>
          <a:extLst>
            <a:ext uri="{FF2B5EF4-FFF2-40B4-BE49-F238E27FC236}">
              <a16:creationId xmlns:a16="http://schemas.microsoft.com/office/drawing/2014/main" id="{8D7BC18C-1F51-494B-D21F-78F51C1D56C3}"/>
            </a:ext>
          </a:extLst>
        </xdr:cNvPr>
        <xdr:cNvSpPr/>
      </xdr:nvSpPr>
      <xdr:spPr>
        <a:xfrm>
          <a:off x="0" y="13411201"/>
          <a:ext cx="5000625" cy="457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78</xdr:row>
      <xdr:rowOff>0</xdr:rowOff>
    </xdr:from>
    <xdr:to>
      <xdr:col>6</xdr:col>
      <xdr:colOff>0</xdr:colOff>
      <xdr:row>85</xdr:row>
      <xdr:rowOff>0</xdr:rowOff>
    </xdr:to>
    <xdr:sp macro="" textlink="">
      <xdr:nvSpPr>
        <xdr:cNvPr id="7" name="Rectangle 6">
          <a:hlinkClick xmlns:r="http://schemas.openxmlformats.org/officeDocument/2006/relationships" r:id="rId9" tooltip="Go to Text Functions-Practice"/>
          <a:extLst>
            <a:ext uri="{FF2B5EF4-FFF2-40B4-BE49-F238E27FC236}">
              <a16:creationId xmlns:a16="http://schemas.microsoft.com/office/drawing/2014/main" id="{3B7CE368-83A9-86C4-EB9D-BE3B7224AFE5}"/>
            </a:ext>
          </a:extLst>
        </xdr:cNvPr>
        <xdr:cNvSpPr/>
      </xdr:nvSpPr>
      <xdr:spPr>
        <a:xfrm>
          <a:off x="0" y="12030075"/>
          <a:ext cx="5000625" cy="1066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9525</xdr:colOff>
      <xdr:row>69</xdr:row>
      <xdr:rowOff>1</xdr:rowOff>
    </xdr:from>
    <xdr:to>
      <xdr:col>6</xdr:col>
      <xdr:colOff>9525</xdr:colOff>
      <xdr:row>76</xdr:row>
      <xdr:rowOff>0</xdr:rowOff>
    </xdr:to>
    <xdr:sp macro="" textlink="">
      <xdr:nvSpPr>
        <xdr:cNvPr id="8" name="Rectangle 7">
          <a:hlinkClick xmlns:r="http://schemas.openxmlformats.org/officeDocument/2006/relationships" r:id="rId10" tooltip="Go to Text Functions-Overview"/>
          <a:extLst>
            <a:ext uri="{FF2B5EF4-FFF2-40B4-BE49-F238E27FC236}">
              <a16:creationId xmlns:a16="http://schemas.microsoft.com/office/drawing/2014/main" id="{E46BB555-3E39-E171-8F38-71409B8334FE}"/>
            </a:ext>
          </a:extLst>
        </xdr:cNvPr>
        <xdr:cNvSpPr/>
      </xdr:nvSpPr>
      <xdr:spPr>
        <a:xfrm>
          <a:off x="9525" y="10658476"/>
          <a:ext cx="5000625" cy="10667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28575</xdr:colOff>
      <xdr:row>64</xdr:row>
      <xdr:rowOff>9526</xdr:rowOff>
    </xdr:from>
    <xdr:to>
      <xdr:col>6</xdr:col>
      <xdr:colOff>28575</xdr:colOff>
      <xdr:row>67</xdr:row>
      <xdr:rowOff>9525</xdr:rowOff>
    </xdr:to>
    <xdr:sp macro="" textlink="">
      <xdr:nvSpPr>
        <xdr:cNvPr id="9" name="Rectangle 8">
          <a:hlinkClick xmlns:r="http://schemas.openxmlformats.org/officeDocument/2006/relationships" r:id="rId11" tooltip="Go to Data -Lookup"/>
          <a:extLst>
            <a:ext uri="{FF2B5EF4-FFF2-40B4-BE49-F238E27FC236}">
              <a16:creationId xmlns:a16="http://schemas.microsoft.com/office/drawing/2014/main" id="{E34EBDFF-3AA3-9F99-0253-FC98E39EDB12}"/>
            </a:ext>
          </a:extLst>
        </xdr:cNvPr>
        <xdr:cNvSpPr/>
      </xdr:nvSpPr>
      <xdr:spPr>
        <a:xfrm>
          <a:off x="28575" y="9906001"/>
          <a:ext cx="5000625" cy="457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9525</xdr:colOff>
      <xdr:row>57</xdr:row>
      <xdr:rowOff>1</xdr:rowOff>
    </xdr:from>
    <xdr:to>
      <xdr:col>6</xdr:col>
      <xdr:colOff>9525</xdr:colOff>
      <xdr:row>62</xdr:row>
      <xdr:rowOff>1</xdr:rowOff>
    </xdr:to>
    <xdr:sp macro="" textlink="">
      <xdr:nvSpPr>
        <xdr:cNvPr id="10" name="Rectangle 9">
          <a:hlinkClick xmlns:r="http://schemas.openxmlformats.org/officeDocument/2006/relationships" r:id="rId12" tooltip="Go to Data -Logic"/>
          <a:extLst>
            <a:ext uri="{FF2B5EF4-FFF2-40B4-BE49-F238E27FC236}">
              <a16:creationId xmlns:a16="http://schemas.microsoft.com/office/drawing/2014/main" id="{5B4F66E5-F72E-6808-7FE4-723A6C0E5B23}"/>
            </a:ext>
          </a:extLst>
        </xdr:cNvPr>
        <xdr:cNvSpPr/>
      </xdr:nvSpPr>
      <xdr:spPr>
        <a:xfrm>
          <a:off x="9525" y="8829676"/>
          <a:ext cx="5000625" cy="762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52</xdr:row>
      <xdr:rowOff>1</xdr:rowOff>
    </xdr:from>
    <xdr:to>
      <xdr:col>6</xdr:col>
      <xdr:colOff>0</xdr:colOff>
      <xdr:row>55</xdr:row>
      <xdr:rowOff>0</xdr:rowOff>
    </xdr:to>
    <xdr:sp macro="" textlink="">
      <xdr:nvSpPr>
        <xdr:cNvPr id="11" name="Rectangle 10">
          <a:hlinkClick xmlns:r="http://schemas.openxmlformats.org/officeDocument/2006/relationships" r:id="rId13" tooltip="Go to All Branch"/>
          <a:extLst>
            <a:ext uri="{FF2B5EF4-FFF2-40B4-BE49-F238E27FC236}">
              <a16:creationId xmlns:a16="http://schemas.microsoft.com/office/drawing/2014/main" id="{A621A767-69F4-5F9B-AF42-0DE5D0E742F2}"/>
            </a:ext>
          </a:extLst>
        </xdr:cNvPr>
        <xdr:cNvSpPr/>
      </xdr:nvSpPr>
      <xdr:spPr>
        <a:xfrm>
          <a:off x="0" y="8067676"/>
          <a:ext cx="5000625" cy="457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47</xdr:row>
      <xdr:rowOff>1</xdr:rowOff>
    </xdr:from>
    <xdr:to>
      <xdr:col>6</xdr:col>
      <xdr:colOff>0</xdr:colOff>
      <xdr:row>50</xdr:row>
      <xdr:rowOff>0</xdr:rowOff>
    </xdr:to>
    <xdr:sp macro="" textlink="">
      <xdr:nvSpPr>
        <xdr:cNvPr id="12" name="Rectangle 11">
          <a:hlinkClick xmlns:r="http://schemas.openxmlformats.org/officeDocument/2006/relationships" r:id="rId14" tooltip="Go to Branch C"/>
          <a:extLst>
            <a:ext uri="{FF2B5EF4-FFF2-40B4-BE49-F238E27FC236}">
              <a16:creationId xmlns:a16="http://schemas.microsoft.com/office/drawing/2014/main" id="{151B58A3-7C67-1D64-2DB4-8B5E513F5339}"/>
            </a:ext>
          </a:extLst>
        </xdr:cNvPr>
        <xdr:cNvSpPr/>
      </xdr:nvSpPr>
      <xdr:spPr>
        <a:xfrm>
          <a:off x="0" y="7305676"/>
          <a:ext cx="5000625" cy="457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19050</xdr:colOff>
      <xdr:row>42</xdr:row>
      <xdr:rowOff>0</xdr:rowOff>
    </xdr:from>
    <xdr:to>
      <xdr:col>6</xdr:col>
      <xdr:colOff>19050</xdr:colOff>
      <xdr:row>45</xdr:row>
      <xdr:rowOff>0</xdr:rowOff>
    </xdr:to>
    <xdr:sp macro="" textlink="">
      <xdr:nvSpPr>
        <xdr:cNvPr id="13" name="Rectangle 12">
          <a:hlinkClick xmlns:r="http://schemas.openxmlformats.org/officeDocument/2006/relationships" r:id="rId15" tooltip="Go to Branch B"/>
          <a:extLst>
            <a:ext uri="{FF2B5EF4-FFF2-40B4-BE49-F238E27FC236}">
              <a16:creationId xmlns:a16="http://schemas.microsoft.com/office/drawing/2014/main" id="{E5AE7273-F1E2-DD69-5CFA-EDFA3CCBEC51}"/>
            </a:ext>
          </a:extLst>
        </xdr:cNvPr>
        <xdr:cNvSpPr/>
      </xdr:nvSpPr>
      <xdr:spPr>
        <a:xfrm>
          <a:off x="19050" y="6543675"/>
          <a:ext cx="5000625"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37</xdr:row>
      <xdr:rowOff>1</xdr:rowOff>
    </xdr:from>
    <xdr:to>
      <xdr:col>6</xdr:col>
      <xdr:colOff>0</xdr:colOff>
      <xdr:row>40</xdr:row>
      <xdr:rowOff>1</xdr:rowOff>
    </xdr:to>
    <xdr:sp macro="" textlink="">
      <xdr:nvSpPr>
        <xdr:cNvPr id="14" name="Rectangle 13">
          <a:hlinkClick xmlns:r="http://schemas.openxmlformats.org/officeDocument/2006/relationships" r:id="rId16" tooltip="Go to Branch A"/>
          <a:extLst>
            <a:ext uri="{FF2B5EF4-FFF2-40B4-BE49-F238E27FC236}">
              <a16:creationId xmlns:a16="http://schemas.microsoft.com/office/drawing/2014/main" id="{216A7430-8F61-A68C-62B1-4E52FD48769E}"/>
            </a:ext>
          </a:extLst>
        </xdr:cNvPr>
        <xdr:cNvSpPr/>
      </xdr:nvSpPr>
      <xdr:spPr>
        <a:xfrm>
          <a:off x="0" y="5781676"/>
          <a:ext cx="5000625"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19050</xdr:colOff>
      <xdr:row>31</xdr:row>
      <xdr:rowOff>0</xdr:rowOff>
    </xdr:from>
    <xdr:to>
      <xdr:col>6</xdr:col>
      <xdr:colOff>19050</xdr:colOff>
      <xdr:row>34</xdr:row>
      <xdr:rowOff>152399</xdr:rowOff>
    </xdr:to>
    <xdr:sp macro="" textlink="">
      <xdr:nvSpPr>
        <xdr:cNvPr id="15" name="Rectangle 14">
          <a:hlinkClick xmlns:r="http://schemas.openxmlformats.org/officeDocument/2006/relationships" r:id="rId17" tooltip="Go to Referencing"/>
          <a:extLst>
            <a:ext uri="{FF2B5EF4-FFF2-40B4-BE49-F238E27FC236}">
              <a16:creationId xmlns:a16="http://schemas.microsoft.com/office/drawing/2014/main" id="{1F086562-8FA8-BF99-8DED-68ABBC0BA28C}"/>
            </a:ext>
          </a:extLst>
        </xdr:cNvPr>
        <xdr:cNvSpPr/>
      </xdr:nvSpPr>
      <xdr:spPr>
        <a:xfrm>
          <a:off x="19050" y="4867275"/>
          <a:ext cx="5000625" cy="6095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9525</xdr:colOff>
      <xdr:row>25</xdr:row>
      <xdr:rowOff>0</xdr:rowOff>
    </xdr:from>
    <xdr:to>
      <xdr:col>6</xdr:col>
      <xdr:colOff>9525</xdr:colOff>
      <xdr:row>28</xdr:row>
      <xdr:rowOff>152399</xdr:rowOff>
    </xdr:to>
    <xdr:sp macro="" textlink="">
      <xdr:nvSpPr>
        <xdr:cNvPr id="16" name="Rectangle 15">
          <a:hlinkClick xmlns:r="http://schemas.openxmlformats.org/officeDocument/2006/relationships" r:id="rId18" tooltip="Go to Application -HR Data"/>
          <a:extLst>
            <a:ext uri="{FF2B5EF4-FFF2-40B4-BE49-F238E27FC236}">
              <a16:creationId xmlns:a16="http://schemas.microsoft.com/office/drawing/2014/main" id="{6DA9F78D-4E93-7A69-03BC-6370171D8241}"/>
            </a:ext>
          </a:extLst>
        </xdr:cNvPr>
        <xdr:cNvSpPr/>
      </xdr:nvSpPr>
      <xdr:spPr>
        <a:xfrm>
          <a:off x="9525" y="3952875"/>
          <a:ext cx="5000625" cy="6095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9525</xdr:colOff>
      <xdr:row>18</xdr:row>
      <xdr:rowOff>0</xdr:rowOff>
    </xdr:from>
    <xdr:to>
      <xdr:col>6</xdr:col>
      <xdr:colOff>9525</xdr:colOff>
      <xdr:row>22</xdr:row>
      <xdr:rowOff>152399</xdr:rowOff>
    </xdr:to>
    <xdr:sp macro="" textlink="">
      <xdr:nvSpPr>
        <xdr:cNvPr id="17" name="Rectangle 16">
          <a:hlinkClick xmlns:r="http://schemas.openxmlformats.org/officeDocument/2006/relationships" r:id="rId19" tooltip="Go to HR Data"/>
          <a:extLst>
            <a:ext uri="{FF2B5EF4-FFF2-40B4-BE49-F238E27FC236}">
              <a16:creationId xmlns:a16="http://schemas.microsoft.com/office/drawing/2014/main" id="{1D174135-A318-0CC8-EDAF-ECFE4492374F}"/>
            </a:ext>
          </a:extLst>
        </xdr:cNvPr>
        <xdr:cNvSpPr/>
      </xdr:nvSpPr>
      <xdr:spPr>
        <a:xfrm>
          <a:off x="9525" y="2886075"/>
          <a:ext cx="5000625" cy="7619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7</xdr:row>
      <xdr:rowOff>0</xdr:rowOff>
    </xdr:from>
    <xdr:to>
      <xdr:col>6</xdr:col>
      <xdr:colOff>0</xdr:colOff>
      <xdr:row>15</xdr:row>
      <xdr:rowOff>152399</xdr:rowOff>
    </xdr:to>
    <xdr:sp macro="" textlink="">
      <xdr:nvSpPr>
        <xdr:cNvPr id="18" name="Rectangle 17">
          <a:hlinkClick xmlns:r="http://schemas.openxmlformats.org/officeDocument/2006/relationships" r:id="rId2" tooltip="Go to Shortcuts"/>
          <a:extLst>
            <a:ext uri="{FF2B5EF4-FFF2-40B4-BE49-F238E27FC236}">
              <a16:creationId xmlns:a16="http://schemas.microsoft.com/office/drawing/2014/main" id="{0C4F5FCC-4374-6652-C549-1FF8F3EE7A1F}"/>
            </a:ext>
          </a:extLst>
        </xdr:cNvPr>
        <xdr:cNvSpPr/>
      </xdr:nvSpPr>
      <xdr:spPr>
        <a:xfrm>
          <a:off x="0" y="1209675"/>
          <a:ext cx="5000625" cy="13715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absoluteAnchor>
    <xdr:pos x="209550" y="200025"/>
    <xdr:ext cx="361950" cy="390525"/>
    <xdr:pic>
      <xdr:nvPicPr>
        <xdr:cNvPr id="2" name="Picture 1">
          <a:extLst>
            <a:ext uri="{FF2B5EF4-FFF2-40B4-BE49-F238E27FC236}">
              <a16:creationId xmlns:a16="http://schemas.microsoft.com/office/drawing/2014/main" id="{303883B8-49B2-46AA-892D-2E0C7E3FB210}"/>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00025"/>
          <a:ext cx="361950" cy="390525"/>
        </a:xfrm>
        <a:prstGeom prst="rect">
          <a:avLst/>
        </a:prstGeom>
      </xdr:spPr>
    </xdr:pic>
    <xdr:clientData/>
  </xdr:absoluteAnchor>
  <xdr:twoCellAnchor editAs="absolute">
    <xdr:from>
      <xdr:col>12</xdr:col>
      <xdr:colOff>47625</xdr:colOff>
      <xdr:row>1</xdr:row>
      <xdr:rowOff>152402</xdr:rowOff>
    </xdr:from>
    <xdr:to>
      <xdr:col>14</xdr:col>
      <xdr:colOff>9519</xdr:colOff>
      <xdr:row>3</xdr:row>
      <xdr:rowOff>66902</xdr:rowOff>
    </xdr:to>
    <xdr:grpSp>
      <xdr:nvGrpSpPr>
        <xdr:cNvPr id="25" name="Group 24">
          <a:hlinkClick xmlns:r="http://schemas.openxmlformats.org/officeDocument/2006/relationships" r:id="rId2" tooltip="Go to Cover page"/>
          <a:extLst>
            <a:ext uri="{FF2B5EF4-FFF2-40B4-BE49-F238E27FC236}">
              <a16:creationId xmlns:a16="http://schemas.microsoft.com/office/drawing/2014/main" id="{23F994DF-7EE6-4B95-861A-E99992D54970}"/>
            </a:ext>
          </a:extLst>
        </xdr:cNvPr>
        <xdr:cNvGrpSpPr/>
      </xdr:nvGrpSpPr>
      <xdr:grpSpPr>
        <a:xfrm>
          <a:off x="9807575" y="355602"/>
          <a:ext cx="1003294" cy="320900"/>
          <a:chOff x="3615235" y="2135609"/>
          <a:chExt cx="1011478" cy="463990"/>
        </a:xfrm>
      </xdr:grpSpPr>
      <xdr:sp macro="" textlink="">
        <xdr:nvSpPr>
          <xdr:cNvPr id="26" name="Rectangle 25">
            <a:extLst>
              <a:ext uri="{FF2B5EF4-FFF2-40B4-BE49-F238E27FC236}">
                <a16:creationId xmlns:a16="http://schemas.microsoft.com/office/drawing/2014/main" id="{44F23DEA-E096-E3A1-32CB-F4111813FF34}"/>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7" name="Graphic 3" descr="Back with solid fill">
            <a:extLst>
              <a:ext uri="{FF2B5EF4-FFF2-40B4-BE49-F238E27FC236}">
                <a16:creationId xmlns:a16="http://schemas.microsoft.com/office/drawing/2014/main" id="{0759948A-2CB8-A16E-9231-BA23FAD7E58A}"/>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28" name="TextBox 27">
            <a:extLst>
              <a:ext uri="{FF2B5EF4-FFF2-40B4-BE49-F238E27FC236}">
                <a16:creationId xmlns:a16="http://schemas.microsoft.com/office/drawing/2014/main" id="{8019AE54-E966-D4A6-CF94-047F0BCE1087}"/>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15</xdr:col>
      <xdr:colOff>224633</xdr:colOff>
      <xdr:row>1</xdr:row>
      <xdr:rowOff>104777</xdr:rowOff>
    </xdr:from>
    <xdr:to>
      <xdr:col>16</xdr:col>
      <xdr:colOff>203419</xdr:colOff>
      <xdr:row>3</xdr:row>
      <xdr:rowOff>101756</xdr:rowOff>
    </xdr:to>
    <xdr:grpSp>
      <xdr:nvGrpSpPr>
        <xdr:cNvPr id="29" name="Group 28">
          <a:hlinkClick xmlns:r="http://schemas.openxmlformats.org/officeDocument/2006/relationships" r:id="rId3" tooltip="Go to Previous page"/>
          <a:extLst>
            <a:ext uri="{FF2B5EF4-FFF2-40B4-BE49-F238E27FC236}">
              <a16:creationId xmlns:a16="http://schemas.microsoft.com/office/drawing/2014/main" id="{0EB6CF52-A373-43F8-A8CB-887C34828AC7}"/>
            </a:ext>
          </a:extLst>
        </xdr:cNvPr>
        <xdr:cNvGrpSpPr/>
      </xdr:nvGrpSpPr>
      <xdr:grpSpPr>
        <a:xfrm>
          <a:off x="11546683" y="307977"/>
          <a:ext cx="620136" cy="403379"/>
          <a:chOff x="3207261" y="2135607"/>
          <a:chExt cx="689910" cy="602421"/>
        </a:xfrm>
      </xdr:grpSpPr>
      <xdr:sp macro="" textlink="">
        <xdr:nvSpPr>
          <xdr:cNvPr id="30" name="Rectangle 29">
            <a:extLst>
              <a:ext uri="{FF2B5EF4-FFF2-40B4-BE49-F238E27FC236}">
                <a16:creationId xmlns:a16="http://schemas.microsoft.com/office/drawing/2014/main" id="{43B07B78-BBC6-7623-95AF-EC277F9F6F33}"/>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1" name="Graphic 3" descr="Back with solid fill">
            <a:extLst>
              <a:ext uri="{FF2B5EF4-FFF2-40B4-BE49-F238E27FC236}">
                <a16:creationId xmlns:a16="http://schemas.microsoft.com/office/drawing/2014/main" id="{51DDE384-8542-B3EA-89C4-DBDEB2C091DA}"/>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2" name="TextBox 31">
            <a:extLst>
              <a:ext uri="{FF2B5EF4-FFF2-40B4-BE49-F238E27FC236}">
                <a16:creationId xmlns:a16="http://schemas.microsoft.com/office/drawing/2014/main" id="{5D63411B-D72B-CC45-CCEA-3FFD1A132031}"/>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16</xdr:col>
      <xdr:colOff>431549</xdr:colOff>
      <xdr:row>1</xdr:row>
      <xdr:rowOff>104775</xdr:rowOff>
    </xdr:from>
    <xdr:to>
      <xdr:col>17</xdr:col>
      <xdr:colOff>380994</xdr:colOff>
      <xdr:row>3</xdr:row>
      <xdr:rowOff>101754</xdr:rowOff>
    </xdr:to>
    <xdr:grpSp>
      <xdr:nvGrpSpPr>
        <xdr:cNvPr id="33" name="Group 32">
          <a:hlinkClick xmlns:r="http://schemas.openxmlformats.org/officeDocument/2006/relationships" r:id="rId4" tooltip="Go to Next page"/>
          <a:extLst>
            <a:ext uri="{FF2B5EF4-FFF2-40B4-BE49-F238E27FC236}">
              <a16:creationId xmlns:a16="http://schemas.microsoft.com/office/drawing/2014/main" id="{E568A1FD-24A9-4543-959F-53E231C6E322}"/>
            </a:ext>
          </a:extLst>
        </xdr:cNvPr>
        <xdr:cNvGrpSpPr/>
      </xdr:nvGrpSpPr>
      <xdr:grpSpPr>
        <a:xfrm rot="10800000">
          <a:off x="12394949" y="307975"/>
          <a:ext cx="590795" cy="403379"/>
          <a:chOff x="3185180" y="2135611"/>
          <a:chExt cx="648224" cy="602421"/>
        </a:xfrm>
      </xdr:grpSpPr>
      <xdr:sp macro="" textlink="">
        <xdr:nvSpPr>
          <xdr:cNvPr id="34" name="Rectangle 33">
            <a:extLst>
              <a:ext uri="{FF2B5EF4-FFF2-40B4-BE49-F238E27FC236}">
                <a16:creationId xmlns:a16="http://schemas.microsoft.com/office/drawing/2014/main" id="{0819EE3B-35FA-A014-23AD-505281C86725}"/>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5" name="Graphic 3" descr="Back with solid fill">
            <a:extLst>
              <a:ext uri="{FF2B5EF4-FFF2-40B4-BE49-F238E27FC236}">
                <a16:creationId xmlns:a16="http://schemas.microsoft.com/office/drawing/2014/main" id="{2AB1CB64-ABEB-3445-5470-287910B621FB}"/>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6" name="TextBox 35">
            <a:extLst>
              <a:ext uri="{FF2B5EF4-FFF2-40B4-BE49-F238E27FC236}">
                <a16:creationId xmlns:a16="http://schemas.microsoft.com/office/drawing/2014/main" id="{76F70E14-4400-D63D-28C2-3DF4969705BE}"/>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14</xdr:col>
      <xdr:colOff>237648</xdr:colOff>
      <xdr:row>1</xdr:row>
      <xdr:rowOff>149381</xdr:rowOff>
    </xdr:from>
    <xdr:to>
      <xdr:col>14</xdr:col>
      <xdr:colOff>491804</xdr:colOff>
      <xdr:row>3</xdr:row>
      <xdr:rowOff>39703</xdr:rowOff>
    </xdr:to>
    <xdr:grpSp>
      <xdr:nvGrpSpPr>
        <xdr:cNvPr id="37" name="Group 36">
          <a:hlinkClick xmlns:r="http://schemas.openxmlformats.org/officeDocument/2006/relationships" r:id="rId3" tooltip="Go to Gallery"/>
          <a:extLst>
            <a:ext uri="{FF2B5EF4-FFF2-40B4-BE49-F238E27FC236}">
              <a16:creationId xmlns:a16="http://schemas.microsoft.com/office/drawing/2014/main" id="{33FF1E04-3246-4CF9-9BF2-1B7E3D1972ED}"/>
            </a:ext>
          </a:extLst>
        </xdr:cNvPr>
        <xdr:cNvGrpSpPr/>
      </xdr:nvGrpSpPr>
      <xdr:grpSpPr>
        <a:xfrm>
          <a:off x="11038998" y="352581"/>
          <a:ext cx="254156" cy="296722"/>
          <a:chOff x="5270413" y="829190"/>
          <a:chExt cx="251434" cy="252272"/>
        </a:xfrm>
      </xdr:grpSpPr>
      <xdr:sp macro="" textlink="">
        <xdr:nvSpPr>
          <xdr:cNvPr id="38" name="Rectangle 37">
            <a:extLst>
              <a:ext uri="{FF2B5EF4-FFF2-40B4-BE49-F238E27FC236}">
                <a16:creationId xmlns:a16="http://schemas.microsoft.com/office/drawing/2014/main" id="{A1F25D01-AF8D-CA71-72A0-536B11E93C38}"/>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Rectangle 38">
            <a:extLst>
              <a:ext uri="{FF2B5EF4-FFF2-40B4-BE49-F238E27FC236}">
                <a16:creationId xmlns:a16="http://schemas.microsoft.com/office/drawing/2014/main" id="{98049F83-8C08-3E06-2A1D-539834220421}"/>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0" name="Rectangle 39">
            <a:extLst>
              <a:ext uri="{FF2B5EF4-FFF2-40B4-BE49-F238E27FC236}">
                <a16:creationId xmlns:a16="http://schemas.microsoft.com/office/drawing/2014/main" id="{4978A72B-447E-3814-3093-1EED331A8DD8}"/>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 name="Rectangle 40">
            <a:extLst>
              <a:ext uri="{FF2B5EF4-FFF2-40B4-BE49-F238E27FC236}">
                <a16:creationId xmlns:a16="http://schemas.microsoft.com/office/drawing/2014/main" id="{5A2D1E28-EE4B-D2B0-AE46-DE947430A89D}"/>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Rectangle 41">
            <a:extLst>
              <a:ext uri="{FF2B5EF4-FFF2-40B4-BE49-F238E27FC236}">
                <a16:creationId xmlns:a16="http://schemas.microsoft.com/office/drawing/2014/main" id="{DBD9E885-6AA4-78EC-285F-0CE29AC512D1}"/>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3" name="Rectangle 42">
            <a:extLst>
              <a:ext uri="{FF2B5EF4-FFF2-40B4-BE49-F238E27FC236}">
                <a16:creationId xmlns:a16="http://schemas.microsoft.com/office/drawing/2014/main" id="{F0362767-9CD0-66B6-7D4D-F48F78B60F70}"/>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4" name="Rectangle 43">
            <a:extLst>
              <a:ext uri="{FF2B5EF4-FFF2-40B4-BE49-F238E27FC236}">
                <a16:creationId xmlns:a16="http://schemas.microsoft.com/office/drawing/2014/main" id="{95C78B84-CF26-27E1-D157-D299E8FF35E9}"/>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5" name="Rectangle 44">
            <a:extLst>
              <a:ext uri="{FF2B5EF4-FFF2-40B4-BE49-F238E27FC236}">
                <a16:creationId xmlns:a16="http://schemas.microsoft.com/office/drawing/2014/main" id="{BCBBB7DA-F83A-B72B-D68F-ACB7AEC8E036}"/>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6" name="Rectangle 45">
            <a:extLst>
              <a:ext uri="{FF2B5EF4-FFF2-40B4-BE49-F238E27FC236}">
                <a16:creationId xmlns:a16="http://schemas.microsoft.com/office/drawing/2014/main" id="{8C486A13-7EA7-62E7-27C7-3BB2ADE92E82}"/>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1866900</xdr:colOff>
      <xdr:row>4</xdr:row>
      <xdr:rowOff>0</xdr:rowOff>
    </xdr:to>
    <xdr:sp macro="" textlink="">
      <xdr:nvSpPr>
        <xdr:cNvPr id="3" name="Rectangle 2">
          <a:hlinkClick xmlns:r="http://schemas.openxmlformats.org/officeDocument/2006/relationships" r:id="rId5" tooltip="Visit our website"/>
          <a:extLst>
            <a:ext uri="{FF2B5EF4-FFF2-40B4-BE49-F238E27FC236}">
              <a16:creationId xmlns:a16="http://schemas.microsoft.com/office/drawing/2014/main" id="{5E1BBF2F-B720-4A70-A978-D01FBBD05C49}"/>
            </a:ext>
          </a:extLst>
        </xdr:cNvPr>
        <xdr:cNvSpPr/>
      </xdr:nvSpPr>
      <xdr:spPr>
        <a:xfrm>
          <a:off x="20002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absoluteAnchor>
    <xdr:pos x="228600" y="190500"/>
    <xdr:ext cx="361950" cy="390525"/>
    <xdr:pic>
      <xdr:nvPicPr>
        <xdr:cNvPr id="2" name="Picture 1">
          <a:extLst>
            <a:ext uri="{FF2B5EF4-FFF2-40B4-BE49-F238E27FC236}">
              <a16:creationId xmlns:a16="http://schemas.microsoft.com/office/drawing/2014/main" id="{65187D18-102F-43F2-B1FE-2826F8175710}"/>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90500"/>
          <a:ext cx="361950" cy="390525"/>
        </a:xfrm>
        <a:prstGeom prst="rect">
          <a:avLst/>
        </a:prstGeom>
      </xdr:spPr>
    </xdr:pic>
    <xdr:clientData/>
  </xdr:absoluteAnchor>
  <xdr:twoCellAnchor editAs="absolute">
    <xdr:from>
      <xdr:col>9</xdr:col>
      <xdr:colOff>908050</xdr:colOff>
      <xdr:row>1</xdr:row>
      <xdr:rowOff>142877</xdr:rowOff>
    </xdr:from>
    <xdr:to>
      <xdr:col>10</xdr:col>
      <xdr:colOff>641344</xdr:colOff>
      <xdr:row>3</xdr:row>
      <xdr:rowOff>57377</xdr:rowOff>
    </xdr:to>
    <xdr:grpSp>
      <xdr:nvGrpSpPr>
        <xdr:cNvPr id="35" name="Group 34">
          <a:hlinkClick xmlns:r="http://schemas.openxmlformats.org/officeDocument/2006/relationships" r:id="rId2" tooltip="Go to Cover page"/>
          <a:extLst>
            <a:ext uri="{FF2B5EF4-FFF2-40B4-BE49-F238E27FC236}">
              <a16:creationId xmlns:a16="http://schemas.microsoft.com/office/drawing/2014/main" id="{A9BC37EC-3E6B-4763-AB2A-6BB114AEC2CE}"/>
            </a:ext>
          </a:extLst>
        </xdr:cNvPr>
        <xdr:cNvGrpSpPr/>
      </xdr:nvGrpSpPr>
      <xdr:grpSpPr>
        <a:xfrm>
          <a:off x="9829800" y="346077"/>
          <a:ext cx="952494" cy="320900"/>
          <a:chOff x="3615235" y="2135609"/>
          <a:chExt cx="1011478" cy="463990"/>
        </a:xfrm>
      </xdr:grpSpPr>
      <xdr:sp macro="" textlink="">
        <xdr:nvSpPr>
          <xdr:cNvPr id="36" name="Rectangle 35">
            <a:extLst>
              <a:ext uri="{FF2B5EF4-FFF2-40B4-BE49-F238E27FC236}">
                <a16:creationId xmlns:a16="http://schemas.microsoft.com/office/drawing/2014/main" id="{D85C95F0-6148-F067-1F43-EBAA99A2A382}"/>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7" name="Graphic 3" descr="Back with solid fill">
            <a:extLst>
              <a:ext uri="{FF2B5EF4-FFF2-40B4-BE49-F238E27FC236}">
                <a16:creationId xmlns:a16="http://schemas.microsoft.com/office/drawing/2014/main" id="{CF4966EA-015D-DA77-582A-649BF69A0CEB}"/>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38" name="TextBox 37">
            <a:extLst>
              <a:ext uri="{FF2B5EF4-FFF2-40B4-BE49-F238E27FC236}">
                <a16:creationId xmlns:a16="http://schemas.microsoft.com/office/drawing/2014/main" id="{8C8B2FAF-E478-DDCB-5578-B3F141212402}"/>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11</xdr:col>
      <xdr:colOff>62708</xdr:colOff>
      <xdr:row>1</xdr:row>
      <xdr:rowOff>95252</xdr:rowOff>
    </xdr:from>
    <xdr:to>
      <xdr:col>12</xdr:col>
      <xdr:colOff>41494</xdr:colOff>
      <xdr:row>3</xdr:row>
      <xdr:rowOff>92231</xdr:rowOff>
    </xdr:to>
    <xdr:grpSp>
      <xdr:nvGrpSpPr>
        <xdr:cNvPr id="39" name="Group 38">
          <a:hlinkClick xmlns:r="http://schemas.openxmlformats.org/officeDocument/2006/relationships" r:id="rId3" tooltip="Go to Previous page"/>
          <a:extLst>
            <a:ext uri="{FF2B5EF4-FFF2-40B4-BE49-F238E27FC236}">
              <a16:creationId xmlns:a16="http://schemas.microsoft.com/office/drawing/2014/main" id="{8E9A7963-3827-48CF-AF11-95001982DCC0}"/>
            </a:ext>
          </a:extLst>
        </xdr:cNvPr>
        <xdr:cNvGrpSpPr/>
      </xdr:nvGrpSpPr>
      <xdr:grpSpPr>
        <a:xfrm>
          <a:off x="10959308" y="298452"/>
          <a:ext cx="620136" cy="403379"/>
          <a:chOff x="3207261" y="2135607"/>
          <a:chExt cx="689910" cy="602421"/>
        </a:xfrm>
      </xdr:grpSpPr>
      <xdr:sp macro="" textlink="">
        <xdr:nvSpPr>
          <xdr:cNvPr id="40" name="Rectangle 39">
            <a:extLst>
              <a:ext uri="{FF2B5EF4-FFF2-40B4-BE49-F238E27FC236}">
                <a16:creationId xmlns:a16="http://schemas.microsoft.com/office/drawing/2014/main" id="{A0E1BCC5-BB8D-24C6-7EE3-24B51B8D8D6E}"/>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41" name="Graphic 3" descr="Back with solid fill">
            <a:extLst>
              <a:ext uri="{FF2B5EF4-FFF2-40B4-BE49-F238E27FC236}">
                <a16:creationId xmlns:a16="http://schemas.microsoft.com/office/drawing/2014/main" id="{A6939D42-21B4-5910-70E3-E95D60CD11E0}"/>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42" name="TextBox 41">
            <a:extLst>
              <a:ext uri="{FF2B5EF4-FFF2-40B4-BE49-F238E27FC236}">
                <a16:creationId xmlns:a16="http://schemas.microsoft.com/office/drawing/2014/main" id="{EAD779DC-7992-EFEF-4E17-4A3B7A026D0A}"/>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12</xdr:col>
      <xdr:colOff>269624</xdr:colOff>
      <xdr:row>1</xdr:row>
      <xdr:rowOff>95250</xdr:rowOff>
    </xdr:from>
    <xdr:to>
      <xdr:col>12</xdr:col>
      <xdr:colOff>828669</xdr:colOff>
      <xdr:row>3</xdr:row>
      <xdr:rowOff>92229</xdr:rowOff>
    </xdr:to>
    <xdr:grpSp>
      <xdr:nvGrpSpPr>
        <xdr:cNvPr id="43" name="Group 42">
          <a:hlinkClick xmlns:r="http://schemas.openxmlformats.org/officeDocument/2006/relationships" r:id="rId4" tooltip="Go to Next page"/>
          <a:extLst>
            <a:ext uri="{FF2B5EF4-FFF2-40B4-BE49-F238E27FC236}">
              <a16:creationId xmlns:a16="http://schemas.microsoft.com/office/drawing/2014/main" id="{A5114742-FCD8-4153-AB90-3908709A770B}"/>
            </a:ext>
          </a:extLst>
        </xdr:cNvPr>
        <xdr:cNvGrpSpPr/>
      </xdr:nvGrpSpPr>
      <xdr:grpSpPr>
        <a:xfrm rot="10800000">
          <a:off x="11807574" y="298450"/>
          <a:ext cx="559045" cy="403379"/>
          <a:chOff x="3185180" y="2135611"/>
          <a:chExt cx="648224" cy="602421"/>
        </a:xfrm>
      </xdr:grpSpPr>
      <xdr:sp macro="" textlink="">
        <xdr:nvSpPr>
          <xdr:cNvPr id="44" name="Rectangle 43">
            <a:extLst>
              <a:ext uri="{FF2B5EF4-FFF2-40B4-BE49-F238E27FC236}">
                <a16:creationId xmlns:a16="http://schemas.microsoft.com/office/drawing/2014/main" id="{48CEBA11-92E6-9217-4432-F1322EE2CA2F}"/>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45" name="Graphic 3" descr="Back with solid fill">
            <a:extLst>
              <a:ext uri="{FF2B5EF4-FFF2-40B4-BE49-F238E27FC236}">
                <a16:creationId xmlns:a16="http://schemas.microsoft.com/office/drawing/2014/main" id="{D7C90EB8-C3CC-CDE4-8964-F68ACADA37E1}"/>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46" name="TextBox 45">
            <a:extLst>
              <a:ext uri="{FF2B5EF4-FFF2-40B4-BE49-F238E27FC236}">
                <a16:creationId xmlns:a16="http://schemas.microsoft.com/office/drawing/2014/main" id="{448CD94E-A875-984D-F778-B854442ABAD1}"/>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10</xdr:col>
      <xdr:colOff>190023</xdr:colOff>
      <xdr:row>1</xdr:row>
      <xdr:rowOff>139856</xdr:rowOff>
    </xdr:from>
    <xdr:to>
      <xdr:col>10</xdr:col>
      <xdr:colOff>444179</xdr:colOff>
      <xdr:row>3</xdr:row>
      <xdr:rowOff>30178</xdr:rowOff>
    </xdr:to>
    <xdr:grpSp>
      <xdr:nvGrpSpPr>
        <xdr:cNvPr id="47" name="Group 46">
          <a:hlinkClick xmlns:r="http://schemas.openxmlformats.org/officeDocument/2006/relationships" r:id="rId5" tooltip="Go to Gallery"/>
          <a:extLst>
            <a:ext uri="{FF2B5EF4-FFF2-40B4-BE49-F238E27FC236}">
              <a16:creationId xmlns:a16="http://schemas.microsoft.com/office/drawing/2014/main" id="{E4D9C555-4B90-4250-BE5C-1218E2F3B4B4}"/>
            </a:ext>
          </a:extLst>
        </xdr:cNvPr>
        <xdr:cNvGrpSpPr/>
      </xdr:nvGrpSpPr>
      <xdr:grpSpPr>
        <a:xfrm>
          <a:off x="10330973" y="343056"/>
          <a:ext cx="254156" cy="296722"/>
          <a:chOff x="5270413" y="829190"/>
          <a:chExt cx="251434" cy="252272"/>
        </a:xfrm>
      </xdr:grpSpPr>
      <xdr:sp macro="" textlink="">
        <xdr:nvSpPr>
          <xdr:cNvPr id="48" name="Rectangle 47">
            <a:extLst>
              <a:ext uri="{FF2B5EF4-FFF2-40B4-BE49-F238E27FC236}">
                <a16:creationId xmlns:a16="http://schemas.microsoft.com/office/drawing/2014/main" id="{3CEBC931-8FB6-DDD0-6921-73747DC6C889}"/>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9" name="Rectangle 48">
            <a:extLst>
              <a:ext uri="{FF2B5EF4-FFF2-40B4-BE49-F238E27FC236}">
                <a16:creationId xmlns:a16="http://schemas.microsoft.com/office/drawing/2014/main" id="{AE233BA6-8195-F2E7-F4C2-5172DB7EB821}"/>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0" name="Rectangle 49">
            <a:extLst>
              <a:ext uri="{FF2B5EF4-FFF2-40B4-BE49-F238E27FC236}">
                <a16:creationId xmlns:a16="http://schemas.microsoft.com/office/drawing/2014/main" id="{D0490DD5-F602-01B6-981F-4186BAF7E270}"/>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1" name="Rectangle 50">
            <a:extLst>
              <a:ext uri="{FF2B5EF4-FFF2-40B4-BE49-F238E27FC236}">
                <a16:creationId xmlns:a16="http://schemas.microsoft.com/office/drawing/2014/main" id="{C321EA6E-62B8-6519-459E-06B9EA827D6D}"/>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2" name="Rectangle 51">
            <a:extLst>
              <a:ext uri="{FF2B5EF4-FFF2-40B4-BE49-F238E27FC236}">
                <a16:creationId xmlns:a16="http://schemas.microsoft.com/office/drawing/2014/main" id="{2F0BBFEA-1A74-874D-6128-53A4CF5959C3}"/>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3" name="Rectangle 52">
            <a:extLst>
              <a:ext uri="{FF2B5EF4-FFF2-40B4-BE49-F238E27FC236}">
                <a16:creationId xmlns:a16="http://schemas.microsoft.com/office/drawing/2014/main" id="{05EE4FB7-9D60-4E52-7C61-20122881FCD2}"/>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4" name="Rectangle 53">
            <a:extLst>
              <a:ext uri="{FF2B5EF4-FFF2-40B4-BE49-F238E27FC236}">
                <a16:creationId xmlns:a16="http://schemas.microsoft.com/office/drawing/2014/main" id="{6B9F2182-0835-8905-7CCE-D735894B78F1}"/>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5" name="Rectangle 54">
            <a:extLst>
              <a:ext uri="{FF2B5EF4-FFF2-40B4-BE49-F238E27FC236}">
                <a16:creationId xmlns:a16="http://schemas.microsoft.com/office/drawing/2014/main" id="{6DB980AE-E9F0-FD13-D272-097D0764D5BF}"/>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6" name="Rectangle 55">
            <a:extLst>
              <a:ext uri="{FF2B5EF4-FFF2-40B4-BE49-F238E27FC236}">
                <a16:creationId xmlns:a16="http://schemas.microsoft.com/office/drawing/2014/main" id="{2663C246-C4DB-388F-6E35-6A338E730A82}"/>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3</xdr:col>
      <xdr:colOff>819150</xdr:colOff>
      <xdr:row>4</xdr:row>
      <xdr:rowOff>0</xdr:rowOff>
    </xdr:to>
    <xdr:sp macro="" textlink="">
      <xdr:nvSpPr>
        <xdr:cNvPr id="3" name="Rectangle 2">
          <a:hlinkClick xmlns:r="http://schemas.openxmlformats.org/officeDocument/2006/relationships" r:id="rId6" tooltip="Visit our website"/>
          <a:extLst>
            <a:ext uri="{FF2B5EF4-FFF2-40B4-BE49-F238E27FC236}">
              <a16:creationId xmlns:a16="http://schemas.microsoft.com/office/drawing/2014/main" id="{A72D1685-9F7E-4195-90F0-61A0B48D3BAA}"/>
            </a:ext>
          </a:extLst>
        </xdr:cNvPr>
        <xdr:cNvSpPr/>
      </xdr:nvSpPr>
      <xdr:spPr>
        <a:xfrm>
          <a:off x="18097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73AD838B-8EBD-4CA0-B391-9945439B95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219075"/>
          <a:ext cx="361950" cy="361950"/>
        </a:xfrm>
        <a:prstGeom prst="rect">
          <a:avLst/>
        </a:prstGeom>
      </xdr:spPr>
    </xdr:pic>
    <xdr:clientData/>
  </xdr:oneCellAnchor>
  <xdr:twoCellAnchor editAs="absolute">
    <xdr:from>
      <xdr:col>9</xdr:col>
      <xdr:colOff>590550</xdr:colOff>
      <xdr:row>1</xdr:row>
      <xdr:rowOff>123827</xdr:rowOff>
    </xdr:from>
    <xdr:to>
      <xdr:col>10</xdr:col>
      <xdr:colOff>514344</xdr:colOff>
      <xdr:row>3</xdr:row>
      <xdr:rowOff>38327</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F9A00AC0-CEB2-4361-81A1-E0A177C06F5A}"/>
            </a:ext>
          </a:extLst>
        </xdr:cNvPr>
        <xdr:cNvGrpSpPr/>
      </xdr:nvGrpSpPr>
      <xdr:grpSpPr>
        <a:xfrm>
          <a:off x="9740900" y="327027"/>
          <a:ext cx="1003294" cy="320900"/>
          <a:chOff x="3615235" y="2135609"/>
          <a:chExt cx="1011478" cy="463990"/>
        </a:xfrm>
      </xdr:grpSpPr>
      <xdr:sp macro="" textlink="">
        <xdr:nvSpPr>
          <xdr:cNvPr id="4" name="Rectangle 3">
            <a:extLst>
              <a:ext uri="{FF2B5EF4-FFF2-40B4-BE49-F238E27FC236}">
                <a16:creationId xmlns:a16="http://schemas.microsoft.com/office/drawing/2014/main" id="{3C2197A3-2ECB-5452-C70D-803B15B27AA7}"/>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1F24C632-6D95-D7E9-CE47-5997BEB57E2C}"/>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936BC665-C2E7-84B2-D6A8-D168B1CB273D}"/>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11</xdr:col>
      <xdr:colOff>196058</xdr:colOff>
      <xdr:row>1</xdr:row>
      <xdr:rowOff>76202</xdr:rowOff>
    </xdr:from>
    <xdr:to>
      <xdr:col>11</xdr:col>
      <xdr:colOff>784444</xdr:colOff>
      <xdr:row>3</xdr:row>
      <xdr:rowOff>73181</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086FE649-B54E-4DF9-8EBA-0DD0C1688F76}"/>
            </a:ext>
          </a:extLst>
        </xdr:cNvPr>
        <xdr:cNvGrpSpPr/>
      </xdr:nvGrpSpPr>
      <xdr:grpSpPr>
        <a:xfrm>
          <a:off x="11505408" y="279402"/>
          <a:ext cx="588386" cy="403379"/>
          <a:chOff x="3207261" y="2135607"/>
          <a:chExt cx="689910" cy="602421"/>
        </a:xfrm>
      </xdr:grpSpPr>
      <xdr:sp macro="" textlink="">
        <xdr:nvSpPr>
          <xdr:cNvPr id="8" name="Rectangle 7">
            <a:extLst>
              <a:ext uri="{FF2B5EF4-FFF2-40B4-BE49-F238E27FC236}">
                <a16:creationId xmlns:a16="http://schemas.microsoft.com/office/drawing/2014/main" id="{37BBB96E-DFA8-B13C-362A-489F6F8F0525}"/>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71390661-CEB7-15D9-8475-15E4DC3419BB}"/>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BED92423-9700-DFB1-B784-15DB7D91264C}"/>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11</xdr:col>
      <xdr:colOff>1012574</xdr:colOff>
      <xdr:row>1</xdr:row>
      <xdr:rowOff>76200</xdr:rowOff>
    </xdr:from>
    <xdr:to>
      <xdr:col>12</xdr:col>
      <xdr:colOff>542919</xdr:colOff>
      <xdr:row>3</xdr:row>
      <xdr:rowOff>73179</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5EC64E76-F3BA-4523-B6BF-B1A851E3C678}"/>
            </a:ext>
          </a:extLst>
        </xdr:cNvPr>
        <xdr:cNvGrpSpPr/>
      </xdr:nvGrpSpPr>
      <xdr:grpSpPr>
        <a:xfrm rot="10800000">
          <a:off x="12321924" y="279400"/>
          <a:ext cx="609845" cy="403379"/>
          <a:chOff x="3185180" y="2135611"/>
          <a:chExt cx="648224" cy="602421"/>
        </a:xfrm>
      </xdr:grpSpPr>
      <xdr:sp macro="" textlink="">
        <xdr:nvSpPr>
          <xdr:cNvPr id="12" name="Rectangle 11">
            <a:extLst>
              <a:ext uri="{FF2B5EF4-FFF2-40B4-BE49-F238E27FC236}">
                <a16:creationId xmlns:a16="http://schemas.microsoft.com/office/drawing/2014/main" id="{FF80D1D3-63EC-5D03-7DE8-D3A761566CEA}"/>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7D26F16F-D401-D244-4DE3-FBC25E1BD124}"/>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E81A9208-7C66-5A5E-5FA4-46C1356101C9}"/>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10</xdr:col>
      <xdr:colOff>742473</xdr:colOff>
      <xdr:row>1</xdr:row>
      <xdr:rowOff>120806</xdr:rowOff>
    </xdr:from>
    <xdr:to>
      <xdr:col>10</xdr:col>
      <xdr:colOff>996629</xdr:colOff>
      <xdr:row>3</xdr:row>
      <xdr:rowOff>11128</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A7D04BCA-F48A-45F1-95FB-815A6D47BC22}"/>
            </a:ext>
          </a:extLst>
        </xdr:cNvPr>
        <xdr:cNvGrpSpPr/>
      </xdr:nvGrpSpPr>
      <xdr:grpSpPr>
        <a:xfrm>
          <a:off x="10972323" y="324006"/>
          <a:ext cx="254156" cy="296722"/>
          <a:chOff x="5270413" y="829190"/>
          <a:chExt cx="251434" cy="252272"/>
        </a:xfrm>
      </xdr:grpSpPr>
      <xdr:sp macro="" textlink="">
        <xdr:nvSpPr>
          <xdr:cNvPr id="16" name="Rectangle 15">
            <a:extLst>
              <a:ext uri="{FF2B5EF4-FFF2-40B4-BE49-F238E27FC236}">
                <a16:creationId xmlns:a16="http://schemas.microsoft.com/office/drawing/2014/main" id="{02B8301C-6293-99E1-B694-D0A990F49B62}"/>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09B877BB-4C97-E703-0DDA-20B880272F9D}"/>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54B76B65-9379-02BF-6B6D-1514B929C32A}"/>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D7C67B8E-471C-AB31-AD96-4660E34861FA}"/>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F9F403B9-F9CC-F0D2-F625-E3C8787BBA37}"/>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70C496D1-9BE0-46D9-A7E4-35EE59C2CCFC}"/>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4FAC3D9F-9DC2-E411-9A12-CF45774E8E28}"/>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11AE1A12-6869-8D95-112A-7A10EC8189A2}"/>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E33D3073-0362-5BC5-DC31-867C22D90082}"/>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3</xdr:col>
      <xdr:colOff>295275</xdr:colOff>
      <xdr:row>4</xdr:row>
      <xdr:rowOff>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75C17CEE-9B89-4CC2-8DE1-4F60F02E2268}"/>
            </a:ext>
          </a:extLst>
        </xdr:cNvPr>
        <xdr:cNvSpPr/>
      </xdr:nvSpPr>
      <xdr:spPr>
        <a:xfrm>
          <a:off x="18097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B593DA5D-A35C-46A9-A721-AFB31FDE23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219075"/>
          <a:ext cx="361950" cy="361950"/>
        </a:xfrm>
        <a:prstGeom prst="rect">
          <a:avLst/>
        </a:prstGeom>
      </xdr:spPr>
    </xdr:pic>
    <xdr:clientData/>
  </xdr:oneCellAnchor>
  <xdr:twoCellAnchor editAs="absolute">
    <xdr:from>
      <xdr:col>10</xdr:col>
      <xdr:colOff>368300</xdr:colOff>
      <xdr:row>1</xdr:row>
      <xdr:rowOff>152402</xdr:rowOff>
    </xdr:from>
    <xdr:to>
      <xdr:col>12</xdr:col>
      <xdr:colOff>292094</xdr:colOff>
      <xdr:row>3</xdr:row>
      <xdr:rowOff>66902</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86615AE6-4F89-402E-8717-AAE75B81047B}"/>
            </a:ext>
          </a:extLst>
        </xdr:cNvPr>
        <xdr:cNvGrpSpPr/>
      </xdr:nvGrpSpPr>
      <xdr:grpSpPr>
        <a:xfrm>
          <a:off x="9829800" y="353485"/>
          <a:ext cx="1003294" cy="316667"/>
          <a:chOff x="3615235" y="2135609"/>
          <a:chExt cx="1011478" cy="463990"/>
        </a:xfrm>
      </xdr:grpSpPr>
      <xdr:sp macro="" textlink="">
        <xdr:nvSpPr>
          <xdr:cNvPr id="4" name="Rectangle 3">
            <a:extLst>
              <a:ext uri="{FF2B5EF4-FFF2-40B4-BE49-F238E27FC236}">
                <a16:creationId xmlns:a16="http://schemas.microsoft.com/office/drawing/2014/main" id="{B6B3D07A-6827-2967-5B35-799A56885F16}"/>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76AAB955-4C0B-2893-43E7-13DD32D3BA63}"/>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107D2221-A3BB-9A07-FB2A-434D3033F5E8}"/>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14</xdr:col>
      <xdr:colOff>5558</xdr:colOff>
      <xdr:row>1</xdr:row>
      <xdr:rowOff>104777</xdr:rowOff>
    </xdr:from>
    <xdr:to>
      <xdr:col>15</xdr:col>
      <xdr:colOff>79594</xdr:colOff>
      <xdr:row>3</xdr:row>
      <xdr:rowOff>101756</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F09ADB46-A4A4-4ED7-8C2A-EC629F994819}"/>
            </a:ext>
          </a:extLst>
        </xdr:cNvPr>
        <xdr:cNvGrpSpPr/>
      </xdr:nvGrpSpPr>
      <xdr:grpSpPr>
        <a:xfrm>
          <a:off x="11626058" y="305860"/>
          <a:ext cx="613786" cy="399146"/>
          <a:chOff x="3207261" y="2135607"/>
          <a:chExt cx="689910" cy="602421"/>
        </a:xfrm>
      </xdr:grpSpPr>
      <xdr:sp macro="" textlink="">
        <xdr:nvSpPr>
          <xdr:cNvPr id="8" name="Rectangle 7">
            <a:extLst>
              <a:ext uri="{FF2B5EF4-FFF2-40B4-BE49-F238E27FC236}">
                <a16:creationId xmlns:a16="http://schemas.microsoft.com/office/drawing/2014/main" id="{DDEBA15E-A6D9-2B22-DFD8-C046E3BDD9C6}"/>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47BA1136-CB1B-4E1C-919D-C1E4EB5812D3}"/>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1976A2EA-98B4-92ED-2AE1-A6295D2629D1}"/>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15</xdr:col>
      <xdr:colOff>307724</xdr:colOff>
      <xdr:row>1</xdr:row>
      <xdr:rowOff>104775</xdr:rowOff>
    </xdr:from>
    <xdr:to>
      <xdr:col>16</xdr:col>
      <xdr:colOff>352419</xdr:colOff>
      <xdr:row>3</xdr:row>
      <xdr:rowOff>101754</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C53FE51C-E0C7-4F23-9461-607B8400C074}"/>
            </a:ext>
          </a:extLst>
        </xdr:cNvPr>
        <xdr:cNvGrpSpPr/>
      </xdr:nvGrpSpPr>
      <xdr:grpSpPr>
        <a:xfrm rot="10800000">
          <a:off x="12467974" y="305858"/>
          <a:ext cx="584445" cy="399146"/>
          <a:chOff x="3185180" y="2135611"/>
          <a:chExt cx="648224" cy="602421"/>
        </a:xfrm>
      </xdr:grpSpPr>
      <xdr:sp macro="" textlink="">
        <xdr:nvSpPr>
          <xdr:cNvPr id="12" name="Rectangle 11">
            <a:extLst>
              <a:ext uri="{FF2B5EF4-FFF2-40B4-BE49-F238E27FC236}">
                <a16:creationId xmlns:a16="http://schemas.microsoft.com/office/drawing/2014/main" id="{347DCEA5-D805-299C-85BE-36356E7EEA3F}"/>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5E455557-561D-C120-BF98-AA100CBBC173}"/>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A3659287-39C5-5ADF-1D53-486BF92AB516}"/>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13</xdr:col>
      <xdr:colOff>37623</xdr:colOff>
      <xdr:row>1</xdr:row>
      <xdr:rowOff>149381</xdr:rowOff>
    </xdr:from>
    <xdr:to>
      <xdr:col>13</xdr:col>
      <xdr:colOff>291779</xdr:colOff>
      <xdr:row>3</xdr:row>
      <xdr:rowOff>39703</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4040F8A5-467F-4503-8EAC-2ED4A4370FE7}"/>
            </a:ext>
          </a:extLst>
        </xdr:cNvPr>
        <xdr:cNvGrpSpPr/>
      </xdr:nvGrpSpPr>
      <xdr:grpSpPr>
        <a:xfrm>
          <a:off x="11118373" y="350464"/>
          <a:ext cx="254156" cy="292489"/>
          <a:chOff x="5270413" y="829190"/>
          <a:chExt cx="251434" cy="252272"/>
        </a:xfrm>
      </xdr:grpSpPr>
      <xdr:sp macro="" textlink="">
        <xdr:nvSpPr>
          <xdr:cNvPr id="16" name="Rectangle 15">
            <a:extLst>
              <a:ext uri="{FF2B5EF4-FFF2-40B4-BE49-F238E27FC236}">
                <a16:creationId xmlns:a16="http://schemas.microsoft.com/office/drawing/2014/main" id="{8F80329C-B4BF-33FF-9BF2-AA2B04A6CCE3}"/>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FDB0B482-C33A-CF7E-BE44-D9B080FBCEC6}"/>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F30A582B-92FC-638C-24C7-D43BFB39491B}"/>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99CF2639-B685-D115-B55B-3787FBCA386C}"/>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C26E3035-B258-CDAC-0DFA-B85E13CDA028}"/>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DC8F80F0-9092-C12D-D303-B6D73F4D396B}"/>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208E2AAC-88ED-CFF7-BC47-CA5E30F8F9D8}"/>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29708B1D-EB24-5814-5FF8-EBAF2D1456B8}"/>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044F4E9C-E2F1-297D-CF02-C233D5466D3F}"/>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476250</xdr:colOff>
      <xdr:row>4</xdr:row>
      <xdr:rowOff>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FA203A4A-B8AA-4524-AA03-EE9AB4D7C8A5}"/>
            </a:ext>
          </a:extLst>
        </xdr:cNvPr>
        <xdr:cNvSpPr/>
      </xdr:nvSpPr>
      <xdr:spPr>
        <a:xfrm>
          <a:off x="18097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9E45FFC7-FDB4-4E1F-89BE-EBA1136A00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125" y="228600"/>
          <a:ext cx="361950" cy="361950"/>
        </a:xfrm>
        <a:prstGeom prst="rect">
          <a:avLst/>
        </a:prstGeom>
      </xdr:spPr>
    </xdr:pic>
    <xdr:clientData/>
  </xdr:oneCellAnchor>
  <xdr:twoCellAnchor editAs="absolute">
    <xdr:from>
      <xdr:col>9</xdr:col>
      <xdr:colOff>542925</xdr:colOff>
      <xdr:row>1</xdr:row>
      <xdr:rowOff>152402</xdr:rowOff>
    </xdr:from>
    <xdr:to>
      <xdr:col>11</xdr:col>
      <xdr:colOff>276219</xdr:colOff>
      <xdr:row>3</xdr:row>
      <xdr:rowOff>38327</xdr:rowOff>
    </xdr:to>
    <xdr:grpSp>
      <xdr:nvGrpSpPr>
        <xdr:cNvPr id="25" name="Group 24">
          <a:hlinkClick xmlns:r="http://schemas.openxmlformats.org/officeDocument/2006/relationships" r:id="rId2" tooltip="Go to Cover page"/>
          <a:extLst>
            <a:ext uri="{FF2B5EF4-FFF2-40B4-BE49-F238E27FC236}">
              <a16:creationId xmlns:a16="http://schemas.microsoft.com/office/drawing/2014/main" id="{8B818676-935D-43D9-B4C3-B486AD1F5665}"/>
            </a:ext>
          </a:extLst>
        </xdr:cNvPr>
        <xdr:cNvGrpSpPr/>
      </xdr:nvGrpSpPr>
      <xdr:grpSpPr>
        <a:xfrm>
          <a:off x="9794875" y="336552"/>
          <a:ext cx="952494" cy="298675"/>
          <a:chOff x="3615235" y="2135609"/>
          <a:chExt cx="1011478" cy="463990"/>
        </a:xfrm>
      </xdr:grpSpPr>
      <xdr:sp macro="" textlink="">
        <xdr:nvSpPr>
          <xdr:cNvPr id="26" name="Rectangle 25">
            <a:extLst>
              <a:ext uri="{FF2B5EF4-FFF2-40B4-BE49-F238E27FC236}">
                <a16:creationId xmlns:a16="http://schemas.microsoft.com/office/drawing/2014/main" id="{B03C1F7A-B31F-18FC-FA14-6DEEF91DF92E}"/>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7" name="Graphic 3" descr="Back with solid fill">
            <a:extLst>
              <a:ext uri="{FF2B5EF4-FFF2-40B4-BE49-F238E27FC236}">
                <a16:creationId xmlns:a16="http://schemas.microsoft.com/office/drawing/2014/main" id="{4623D94C-2747-5FD2-48F2-47AD545A6050}"/>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28" name="TextBox 27">
            <a:extLst>
              <a:ext uri="{FF2B5EF4-FFF2-40B4-BE49-F238E27FC236}">
                <a16:creationId xmlns:a16="http://schemas.microsoft.com/office/drawing/2014/main" id="{15C37A47-4657-9715-9DBE-E44ED35A13CF}"/>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12</xdr:col>
      <xdr:colOff>377033</xdr:colOff>
      <xdr:row>1</xdr:row>
      <xdr:rowOff>104777</xdr:rowOff>
    </xdr:from>
    <xdr:to>
      <xdr:col>13</xdr:col>
      <xdr:colOff>355819</xdr:colOff>
      <xdr:row>3</xdr:row>
      <xdr:rowOff>73181</xdr:rowOff>
    </xdr:to>
    <xdr:grpSp>
      <xdr:nvGrpSpPr>
        <xdr:cNvPr id="29" name="Group 28">
          <a:hlinkClick xmlns:r="http://schemas.openxmlformats.org/officeDocument/2006/relationships" r:id="rId3" tooltip="Go to Previous page"/>
          <a:extLst>
            <a:ext uri="{FF2B5EF4-FFF2-40B4-BE49-F238E27FC236}">
              <a16:creationId xmlns:a16="http://schemas.microsoft.com/office/drawing/2014/main" id="{4E29C9CC-3285-4662-9862-7026D717A093}"/>
            </a:ext>
          </a:extLst>
        </xdr:cNvPr>
        <xdr:cNvGrpSpPr/>
      </xdr:nvGrpSpPr>
      <xdr:grpSpPr>
        <a:xfrm>
          <a:off x="11457783" y="288927"/>
          <a:ext cx="588386" cy="381154"/>
          <a:chOff x="3207261" y="2135607"/>
          <a:chExt cx="689910" cy="602421"/>
        </a:xfrm>
      </xdr:grpSpPr>
      <xdr:sp macro="" textlink="">
        <xdr:nvSpPr>
          <xdr:cNvPr id="30" name="Rectangle 29">
            <a:extLst>
              <a:ext uri="{FF2B5EF4-FFF2-40B4-BE49-F238E27FC236}">
                <a16:creationId xmlns:a16="http://schemas.microsoft.com/office/drawing/2014/main" id="{C7551DA8-F917-C6DF-C372-F6F355CCA305}"/>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1" name="Graphic 3" descr="Back with solid fill">
            <a:extLst>
              <a:ext uri="{FF2B5EF4-FFF2-40B4-BE49-F238E27FC236}">
                <a16:creationId xmlns:a16="http://schemas.microsoft.com/office/drawing/2014/main" id="{9EF5DAE3-0E4B-19DC-D24C-05583C44E6E5}"/>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2" name="TextBox 31">
            <a:extLst>
              <a:ext uri="{FF2B5EF4-FFF2-40B4-BE49-F238E27FC236}">
                <a16:creationId xmlns:a16="http://schemas.microsoft.com/office/drawing/2014/main" id="{D57AE60F-5126-6004-2168-3E5B0C87D7A6}"/>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13</xdr:col>
      <xdr:colOff>583949</xdr:colOff>
      <xdr:row>1</xdr:row>
      <xdr:rowOff>104775</xdr:rowOff>
    </xdr:from>
    <xdr:to>
      <xdr:col>14</xdr:col>
      <xdr:colOff>533394</xdr:colOff>
      <xdr:row>3</xdr:row>
      <xdr:rowOff>73179</xdr:rowOff>
    </xdr:to>
    <xdr:grpSp>
      <xdr:nvGrpSpPr>
        <xdr:cNvPr id="33" name="Group 32">
          <a:hlinkClick xmlns:r="http://schemas.openxmlformats.org/officeDocument/2006/relationships" r:id="rId4" tooltip="Go to Next page"/>
          <a:extLst>
            <a:ext uri="{FF2B5EF4-FFF2-40B4-BE49-F238E27FC236}">
              <a16:creationId xmlns:a16="http://schemas.microsoft.com/office/drawing/2014/main" id="{D0F87F86-4A25-4D50-AF61-86BEEF60E70E}"/>
            </a:ext>
          </a:extLst>
        </xdr:cNvPr>
        <xdr:cNvGrpSpPr/>
      </xdr:nvGrpSpPr>
      <xdr:grpSpPr>
        <a:xfrm rot="10800000">
          <a:off x="12274299" y="288925"/>
          <a:ext cx="559045" cy="381154"/>
          <a:chOff x="3185180" y="2135611"/>
          <a:chExt cx="648224" cy="602421"/>
        </a:xfrm>
      </xdr:grpSpPr>
      <xdr:sp macro="" textlink="">
        <xdr:nvSpPr>
          <xdr:cNvPr id="34" name="Rectangle 33">
            <a:extLst>
              <a:ext uri="{FF2B5EF4-FFF2-40B4-BE49-F238E27FC236}">
                <a16:creationId xmlns:a16="http://schemas.microsoft.com/office/drawing/2014/main" id="{A828823E-CB34-DCA8-5A12-747DFB757963}"/>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5" name="Graphic 3" descr="Back with solid fill">
            <a:extLst>
              <a:ext uri="{FF2B5EF4-FFF2-40B4-BE49-F238E27FC236}">
                <a16:creationId xmlns:a16="http://schemas.microsoft.com/office/drawing/2014/main" id="{6977259E-4FF1-A509-5BCA-3C91B09198EA}"/>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6" name="TextBox 35">
            <a:extLst>
              <a:ext uri="{FF2B5EF4-FFF2-40B4-BE49-F238E27FC236}">
                <a16:creationId xmlns:a16="http://schemas.microsoft.com/office/drawing/2014/main" id="{50BC419F-EEDF-5AB3-3F42-4CD8D007B7EE}"/>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11</xdr:col>
      <xdr:colOff>504348</xdr:colOff>
      <xdr:row>1</xdr:row>
      <xdr:rowOff>149381</xdr:rowOff>
    </xdr:from>
    <xdr:to>
      <xdr:col>12</xdr:col>
      <xdr:colOff>148904</xdr:colOff>
      <xdr:row>3</xdr:row>
      <xdr:rowOff>11128</xdr:rowOff>
    </xdr:to>
    <xdr:grpSp>
      <xdr:nvGrpSpPr>
        <xdr:cNvPr id="37" name="Group 36">
          <a:hlinkClick xmlns:r="http://schemas.openxmlformats.org/officeDocument/2006/relationships" r:id="rId5" tooltip="Go to Gallery"/>
          <a:extLst>
            <a:ext uri="{FF2B5EF4-FFF2-40B4-BE49-F238E27FC236}">
              <a16:creationId xmlns:a16="http://schemas.microsoft.com/office/drawing/2014/main" id="{85CB4F6C-5799-4530-A805-90C2ADBE28C6}"/>
            </a:ext>
          </a:extLst>
        </xdr:cNvPr>
        <xdr:cNvGrpSpPr/>
      </xdr:nvGrpSpPr>
      <xdr:grpSpPr>
        <a:xfrm>
          <a:off x="10975498" y="333531"/>
          <a:ext cx="254156" cy="274497"/>
          <a:chOff x="5270413" y="829190"/>
          <a:chExt cx="251434" cy="252272"/>
        </a:xfrm>
      </xdr:grpSpPr>
      <xdr:sp macro="" textlink="">
        <xdr:nvSpPr>
          <xdr:cNvPr id="38" name="Rectangle 37">
            <a:extLst>
              <a:ext uri="{FF2B5EF4-FFF2-40B4-BE49-F238E27FC236}">
                <a16:creationId xmlns:a16="http://schemas.microsoft.com/office/drawing/2014/main" id="{774AC593-F430-4B89-678A-03073D352EB6}"/>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Rectangle 38">
            <a:extLst>
              <a:ext uri="{FF2B5EF4-FFF2-40B4-BE49-F238E27FC236}">
                <a16:creationId xmlns:a16="http://schemas.microsoft.com/office/drawing/2014/main" id="{608DA43F-1BA0-821E-2830-AA4B5415F30C}"/>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0" name="Rectangle 39">
            <a:extLst>
              <a:ext uri="{FF2B5EF4-FFF2-40B4-BE49-F238E27FC236}">
                <a16:creationId xmlns:a16="http://schemas.microsoft.com/office/drawing/2014/main" id="{D8F4018C-FFCE-143D-6DE3-595D9177CD08}"/>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 name="Rectangle 40">
            <a:extLst>
              <a:ext uri="{FF2B5EF4-FFF2-40B4-BE49-F238E27FC236}">
                <a16:creationId xmlns:a16="http://schemas.microsoft.com/office/drawing/2014/main" id="{E2E10921-0733-82B6-CEDC-D864E9D7E7A2}"/>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Rectangle 41">
            <a:extLst>
              <a:ext uri="{FF2B5EF4-FFF2-40B4-BE49-F238E27FC236}">
                <a16:creationId xmlns:a16="http://schemas.microsoft.com/office/drawing/2014/main" id="{08760022-7FEE-CA5F-3E5E-9261BC97A75F}"/>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3" name="Rectangle 42">
            <a:extLst>
              <a:ext uri="{FF2B5EF4-FFF2-40B4-BE49-F238E27FC236}">
                <a16:creationId xmlns:a16="http://schemas.microsoft.com/office/drawing/2014/main" id="{3656F705-454B-3C2C-9F46-1243661B5395}"/>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4" name="Rectangle 43">
            <a:extLst>
              <a:ext uri="{FF2B5EF4-FFF2-40B4-BE49-F238E27FC236}">
                <a16:creationId xmlns:a16="http://schemas.microsoft.com/office/drawing/2014/main" id="{EB58DC2B-B81F-4E7A-FA21-6D2CCACDA254}"/>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5" name="Rectangle 44">
            <a:extLst>
              <a:ext uri="{FF2B5EF4-FFF2-40B4-BE49-F238E27FC236}">
                <a16:creationId xmlns:a16="http://schemas.microsoft.com/office/drawing/2014/main" id="{F8A2495B-D8B4-E7E4-3C0A-7CE0513BBC8D}"/>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6" name="Rectangle 45">
            <a:extLst>
              <a:ext uri="{FF2B5EF4-FFF2-40B4-BE49-F238E27FC236}">
                <a16:creationId xmlns:a16="http://schemas.microsoft.com/office/drawing/2014/main" id="{C24347F2-D9DB-5542-65F0-F092DBF9A9CF}"/>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457200</xdr:colOff>
      <xdr:row>3</xdr:row>
      <xdr:rowOff>152400</xdr:rowOff>
    </xdr:to>
    <xdr:sp macro="" textlink="">
      <xdr:nvSpPr>
        <xdr:cNvPr id="3" name="Rectangle 2">
          <a:hlinkClick xmlns:r="http://schemas.openxmlformats.org/officeDocument/2006/relationships" r:id="rId6" tooltip="Visit our website"/>
          <a:extLst>
            <a:ext uri="{FF2B5EF4-FFF2-40B4-BE49-F238E27FC236}">
              <a16:creationId xmlns:a16="http://schemas.microsoft.com/office/drawing/2014/main" id="{FF95CCD4-1060-42BD-B4BD-E12D75552FE3}"/>
            </a:ext>
          </a:extLst>
        </xdr:cNvPr>
        <xdr:cNvSpPr/>
      </xdr:nvSpPr>
      <xdr:spPr>
        <a:xfrm>
          <a:off x="180975" y="1905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7F635018-F690-4267-A551-86A57BB38F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125" y="228600"/>
          <a:ext cx="361950" cy="361950"/>
        </a:xfrm>
        <a:prstGeom prst="rect">
          <a:avLst/>
        </a:prstGeom>
      </xdr:spPr>
    </xdr:pic>
    <xdr:clientData/>
  </xdr:oneCellAnchor>
  <xdr:twoCellAnchor editAs="absolute">
    <xdr:from>
      <xdr:col>9</xdr:col>
      <xdr:colOff>542925</xdr:colOff>
      <xdr:row>1</xdr:row>
      <xdr:rowOff>152402</xdr:rowOff>
    </xdr:from>
    <xdr:to>
      <xdr:col>11</xdr:col>
      <xdr:colOff>276219</xdr:colOff>
      <xdr:row>3</xdr:row>
      <xdr:rowOff>38327</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297CBA35-0067-47F1-AEF2-D96A91B40F8A}"/>
            </a:ext>
          </a:extLst>
        </xdr:cNvPr>
        <xdr:cNvGrpSpPr/>
      </xdr:nvGrpSpPr>
      <xdr:grpSpPr>
        <a:xfrm>
          <a:off x="9794875" y="336552"/>
          <a:ext cx="952494" cy="266925"/>
          <a:chOff x="3615235" y="2135609"/>
          <a:chExt cx="1011478" cy="463990"/>
        </a:xfrm>
      </xdr:grpSpPr>
      <xdr:sp macro="" textlink="">
        <xdr:nvSpPr>
          <xdr:cNvPr id="4" name="Rectangle 3">
            <a:extLst>
              <a:ext uri="{FF2B5EF4-FFF2-40B4-BE49-F238E27FC236}">
                <a16:creationId xmlns:a16="http://schemas.microsoft.com/office/drawing/2014/main" id="{F4F219CC-C969-0A28-EBB2-E3B04477C97E}"/>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4C9911DD-3C3F-5CE9-927D-D0745B17CC85}"/>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210297B1-B0FA-9D74-46C2-7128782BE9A2}"/>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12</xdr:col>
      <xdr:colOff>377033</xdr:colOff>
      <xdr:row>1</xdr:row>
      <xdr:rowOff>104777</xdr:rowOff>
    </xdr:from>
    <xdr:to>
      <xdr:col>13</xdr:col>
      <xdr:colOff>355819</xdr:colOff>
      <xdr:row>3</xdr:row>
      <xdr:rowOff>73181</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8EC7196C-C18D-4DA0-ACDF-55D39C4E4F38}"/>
            </a:ext>
          </a:extLst>
        </xdr:cNvPr>
        <xdr:cNvGrpSpPr/>
      </xdr:nvGrpSpPr>
      <xdr:grpSpPr>
        <a:xfrm>
          <a:off x="11457783" y="288927"/>
          <a:ext cx="588386" cy="349404"/>
          <a:chOff x="3207261" y="2135607"/>
          <a:chExt cx="689910" cy="602421"/>
        </a:xfrm>
      </xdr:grpSpPr>
      <xdr:sp macro="" textlink="">
        <xdr:nvSpPr>
          <xdr:cNvPr id="8" name="Rectangle 7">
            <a:extLst>
              <a:ext uri="{FF2B5EF4-FFF2-40B4-BE49-F238E27FC236}">
                <a16:creationId xmlns:a16="http://schemas.microsoft.com/office/drawing/2014/main" id="{2B964D27-86E0-2101-E1A1-76DD9DE96EBE}"/>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C5D77568-EDD7-CD96-83D3-BA307360B760}"/>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6FCF1F1E-B178-E44E-D5D6-095DE14B0676}"/>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13</xdr:col>
      <xdr:colOff>583949</xdr:colOff>
      <xdr:row>1</xdr:row>
      <xdr:rowOff>104775</xdr:rowOff>
    </xdr:from>
    <xdr:to>
      <xdr:col>14</xdr:col>
      <xdr:colOff>533394</xdr:colOff>
      <xdr:row>3</xdr:row>
      <xdr:rowOff>73179</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380DC7F7-0231-43DC-8969-2F01D0C6D03C}"/>
            </a:ext>
          </a:extLst>
        </xdr:cNvPr>
        <xdr:cNvGrpSpPr/>
      </xdr:nvGrpSpPr>
      <xdr:grpSpPr>
        <a:xfrm rot="10800000">
          <a:off x="12274299" y="288925"/>
          <a:ext cx="559045" cy="349404"/>
          <a:chOff x="3185180" y="2135611"/>
          <a:chExt cx="648224" cy="602421"/>
        </a:xfrm>
      </xdr:grpSpPr>
      <xdr:sp macro="" textlink="">
        <xdr:nvSpPr>
          <xdr:cNvPr id="12" name="Rectangle 11">
            <a:extLst>
              <a:ext uri="{FF2B5EF4-FFF2-40B4-BE49-F238E27FC236}">
                <a16:creationId xmlns:a16="http://schemas.microsoft.com/office/drawing/2014/main" id="{F6EA75DB-2FF9-DE9F-F22B-44B1FBA9C966}"/>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BD89CF62-CDDC-C717-93E1-8CFB7A39E0A6}"/>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5BC41C10-1D3F-2843-CB36-2AD9A5B7EDEF}"/>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11</xdr:col>
      <xdr:colOff>504348</xdr:colOff>
      <xdr:row>1</xdr:row>
      <xdr:rowOff>149381</xdr:rowOff>
    </xdr:from>
    <xdr:to>
      <xdr:col>12</xdr:col>
      <xdr:colOff>148904</xdr:colOff>
      <xdr:row>3</xdr:row>
      <xdr:rowOff>11128</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77AB90D9-6E4A-4088-908A-05DFE0FFD962}"/>
            </a:ext>
          </a:extLst>
        </xdr:cNvPr>
        <xdr:cNvGrpSpPr/>
      </xdr:nvGrpSpPr>
      <xdr:grpSpPr>
        <a:xfrm>
          <a:off x="10975498" y="333531"/>
          <a:ext cx="254156" cy="242747"/>
          <a:chOff x="5270413" y="829190"/>
          <a:chExt cx="251434" cy="252272"/>
        </a:xfrm>
      </xdr:grpSpPr>
      <xdr:sp macro="" textlink="">
        <xdr:nvSpPr>
          <xdr:cNvPr id="16" name="Rectangle 15">
            <a:extLst>
              <a:ext uri="{FF2B5EF4-FFF2-40B4-BE49-F238E27FC236}">
                <a16:creationId xmlns:a16="http://schemas.microsoft.com/office/drawing/2014/main" id="{7D0C37FF-C9DD-6252-114F-E833C33B7957}"/>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4691DD0F-0954-EEEB-75A1-9F79CA19DB3F}"/>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CB02E976-5CC5-1DBC-EC5D-8B517A2642A1}"/>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B3B90467-710C-43BC-85A7-8506C4A6AB26}"/>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65550B70-6F77-F19F-9013-8C35D3238923}"/>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11DEB37C-AF0B-E168-C42B-98F46847C392}"/>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4C478849-3FB6-26C2-AD04-AFFB9D5AA12C}"/>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42471AC7-CCC3-4230-0F7F-6295D261B5CA}"/>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312F0698-8A82-27AA-102F-5D9A7FD11957}"/>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457200</xdr:colOff>
      <xdr:row>3</xdr:row>
      <xdr:rowOff>152400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CD5B0C20-BBAC-4367-9215-6E986F9BCD87}"/>
            </a:ext>
          </a:extLst>
        </xdr:cNvPr>
        <xdr:cNvSpPr/>
      </xdr:nvSpPr>
      <xdr:spPr>
        <a:xfrm>
          <a:off x="180975" y="1905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FB869DC4-B99A-4D29-8551-488CEDEBD5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125" y="228600"/>
          <a:ext cx="361950" cy="361950"/>
        </a:xfrm>
        <a:prstGeom prst="rect">
          <a:avLst/>
        </a:prstGeom>
      </xdr:spPr>
    </xdr:pic>
    <xdr:clientData/>
  </xdr:oneCellAnchor>
  <xdr:twoCellAnchor editAs="absolute">
    <xdr:from>
      <xdr:col>9</xdr:col>
      <xdr:colOff>542925</xdr:colOff>
      <xdr:row>1</xdr:row>
      <xdr:rowOff>152402</xdr:rowOff>
    </xdr:from>
    <xdr:to>
      <xdr:col>11</xdr:col>
      <xdr:colOff>276219</xdr:colOff>
      <xdr:row>3</xdr:row>
      <xdr:rowOff>38327</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CBB57ABF-90F0-4B74-A960-3C118FC2BFB4}"/>
            </a:ext>
          </a:extLst>
        </xdr:cNvPr>
        <xdr:cNvGrpSpPr/>
      </xdr:nvGrpSpPr>
      <xdr:grpSpPr>
        <a:xfrm>
          <a:off x="9794875" y="336552"/>
          <a:ext cx="952494" cy="266925"/>
          <a:chOff x="3615235" y="2135609"/>
          <a:chExt cx="1011478" cy="463990"/>
        </a:xfrm>
      </xdr:grpSpPr>
      <xdr:sp macro="" textlink="">
        <xdr:nvSpPr>
          <xdr:cNvPr id="4" name="Rectangle 3">
            <a:extLst>
              <a:ext uri="{FF2B5EF4-FFF2-40B4-BE49-F238E27FC236}">
                <a16:creationId xmlns:a16="http://schemas.microsoft.com/office/drawing/2014/main" id="{9481EDE9-069D-57A6-25F3-3EC67C3DCBFF}"/>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B1F6E774-DDB7-320F-39E1-DC3E37EE2360}"/>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A2D0DC49-918B-AC99-82CA-750ACDC28031}"/>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12</xdr:col>
      <xdr:colOff>377033</xdr:colOff>
      <xdr:row>1</xdr:row>
      <xdr:rowOff>104777</xdr:rowOff>
    </xdr:from>
    <xdr:to>
      <xdr:col>13</xdr:col>
      <xdr:colOff>355819</xdr:colOff>
      <xdr:row>3</xdr:row>
      <xdr:rowOff>73181</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7C086264-0B94-453B-96DE-60D361771377}"/>
            </a:ext>
          </a:extLst>
        </xdr:cNvPr>
        <xdr:cNvGrpSpPr/>
      </xdr:nvGrpSpPr>
      <xdr:grpSpPr>
        <a:xfrm>
          <a:off x="11457783" y="288927"/>
          <a:ext cx="588386" cy="349404"/>
          <a:chOff x="3207261" y="2135607"/>
          <a:chExt cx="689910" cy="602421"/>
        </a:xfrm>
      </xdr:grpSpPr>
      <xdr:sp macro="" textlink="">
        <xdr:nvSpPr>
          <xdr:cNvPr id="8" name="Rectangle 7">
            <a:extLst>
              <a:ext uri="{FF2B5EF4-FFF2-40B4-BE49-F238E27FC236}">
                <a16:creationId xmlns:a16="http://schemas.microsoft.com/office/drawing/2014/main" id="{590AD358-3381-5DCF-9B5E-3E4DFE3051BE}"/>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1281DC38-5752-A524-4B53-1A5120262842}"/>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CF62F04E-635C-E445-AB86-9B57FE6096D6}"/>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13</xdr:col>
      <xdr:colOff>583949</xdr:colOff>
      <xdr:row>1</xdr:row>
      <xdr:rowOff>104775</xdr:rowOff>
    </xdr:from>
    <xdr:to>
      <xdr:col>14</xdr:col>
      <xdr:colOff>533394</xdr:colOff>
      <xdr:row>3</xdr:row>
      <xdr:rowOff>73179</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C0D34BE6-D3B9-4538-BF41-092E9E9D52CA}"/>
            </a:ext>
          </a:extLst>
        </xdr:cNvPr>
        <xdr:cNvGrpSpPr/>
      </xdr:nvGrpSpPr>
      <xdr:grpSpPr>
        <a:xfrm rot="10800000">
          <a:off x="12274299" y="288925"/>
          <a:ext cx="559045" cy="349404"/>
          <a:chOff x="3185180" y="2135611"/>
          <a:chExt cx="648224" cy="602421"/>
        </a:xfrm>
      </xdr:grpSpPr>
      <xdr:sp macro="" textlink="">
        <xdr:nvSpPr>
          <xdr:cNvPr id="12" name="Rectangle 11">
            <a:extLst>
              <a:ext uri="{FF2B5EF4-FFF2-40B4-BE49-F238E27FC236}">
                <a16:creationId xmlns:a16="http://schemas.microsoft.com/office/drawing/2014/main" id="{F64BC495-FDFA-2087-D08B-215D9BF5B76A}"/>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659EE574-8058-BD75-2987-36A2D41FA52B}"/>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F1DD1F82-428B-0165-FF2A-3D3DC68C1BFE}"/>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11</xdr:col>
      <xdr:colOff>504348</xdr:colOff>
      <xdr:row>1</xdr:row>
      <xdr:rowOff>149381</xdr:rowOff>
    </xdr:from>
    <xdr:to>
      <xdr:col>12</xdr:col>
      <xdr:colOff>148904</xdr:colOff>
      <xdr:row>3</xdr:row>
      <xdr:rowOff>11128</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00CF56B2-87B0-4221-A74F-A6234DCE382E}"/>
            </a:ext>
          </a:extLst>
        </xdr:cNvPr>
        <xdr:cNvGrpSpPr/>
      </xdr:nvGrpSpPr>
      <xdr:grpSpPr>
        <a:xfrm>
          <a:off x="10975498" y="333531"/>
          <a:ext cx="254156" cy="242747"/>
          <a:chOff x="5270413" y="829190"/>
          <a:chExt cx="251434" cy="252272"/>
        </a:xfrm>
      </xdr:grpSpPr>
      <xdr:sp macro="" textlink="">
        <xdr:nvSpPr>
          <xdr:cNvPr id="16" name="Rectangle 15">
            <a:extLst>
              <a:ext uri="{FF2B5EF4-FFF2-40B4-BE49-F238E27FC236}">
                <a16:creationId xmlns:a16="http://schemas.microsoft.com/office/drawing/2014/main" id="{8031BE5D-DE80-AB90-9275-8F84378ED3BA}"/>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3C6AD5CD-DBA4-D3D7-79E8-524292F3C5A7}"/>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D409BE41-277A-CD08-CE75-FD21D4726194}"/>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02ED9483-05A4-050E-8012-783544831494}"/>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0FEA2040-91F3-6C61-6476-829EAD912281}"/>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ED30606B-8473-EDFD-D2E0-E31D7F7E68C7}"/>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72A80916-DBAD-1CA5-6A63-8945D21ABC34}"/>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E84D1827-9031-8863-1402-6731F076123B}"/>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6892EA19-2DF8-30CA-BB99-CE7A7CF12599}"/>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457200</xdr:colOff>
      <xdr:row>3</xdr:row>
      <xdr:rowOff>152400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57904D49-DAAB-43AA-B57D-97C800CBF53F}"/>
            </a:ext>
          </a:extLst>
        </xdr:cNvPr>
        <xdr:cNvSpPr/>
      </xdr:nvSpPr>
      <xdr:spPr>
        <a:xfrm>
          <a:off x="180975" y="1905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D9A18D79-93C0-491F-95F6-6ECF0D132B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125" y="228600"/>
          <a:ext cx="361950" cy="361950"/>
        </a:xfrm>
        <a:prstGeom prst="rect">
          <a:avLst/>
        </a:prstGeom>
      </xdr:spPr>
    </xdr:pic>
    <xdr:clientData/>
  </xdr:oneCellAnchor>
  <xdr:twoCellAnchor editAs="absolute">
    <xdr:from>
      <xdr:col>11</xdr:col>
      <xdr:colOff>381000</xdr:colOff>
      <xdr:row>1</xdr:row>
      <xdr:rowOff>152402</xdr:rowOff>
    </xdr:from>
    <xdr:to>
      <xdr:col>13</xdr:col>
      <xdr:colOff>114294</xdr:colOff>
      <xdr:row>3</xdr:row>
      <xdr:rowOff>38327</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1E305B2B-4ECA-49D8-A871-AE480D70313F}"/>
            </a:ext>
          </a:extLst>
        </xdr:cNvPr>
        <xdr:cNvGrpSpPr/>
      </xdr:nvGrpSpPr>
      <xdr:grpSpPr>
        <a:xfrm>
          <a:off x="9740900" y="336552"/>
          <a:ext cx="952494" cy="266925"/>
          <a:chOff x="3615235" y="2135609"/>
          <a:chExt cx="1011478" cy="463990"/>
        </a:xfrm>
      </xdr:grpSpPr>
      <xdr:sp macro="" textlink="">
        <xdr:nvSpPr>
          <xdr:cNvPr id="4" name="Rectangle 3">
            <a:extLst>
              <a:ext uri="{FF2B5EF4-FFF2-40B4-BE49-F238E27FC236}">
                <a16:creationId xmlns:a16="http://schemas.microsoft.com/office/drawing/2014/main" id="{4EAE270E-A2B3-E10D-6AD8-6EA482C3B897}"/>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690AFC22-5E47-3D28-1BCD-5A4FC374F49F}"/>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0C502AFA-9CC8-AE6F-CD8F-7A77FFB48C98}"/>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14</xdr:col>
      <xdr:colOff>215108</xdr:colOff>
      <xdr:row>1</xdr:row>
      <xdr:rowOff>104777</xdr:rowOff>
    </xdr:from>
    <xdr:to>
      <xdr:col>15</xdr:col>
      <xdr:colOff>193894</xdr:colOff>
      <xdr:row>3</xdr:row>
      <xdr:rowOff>73181</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FA32A29D-EEDE-4242-9E2D-26BD815BDFAA}"/>
            </a:ext>
          </a:extLst>
        </xdr:cNvPr>
        <xdr:cNvGrpSpPr/>
      </xdr:nvGrpSpPr>
      <xdr:grpSpPr>
        <a:xfrm>
          <a:off x="11403808" y="288927"/>
          <a:ext cx="588386" cy="349404"/>
          <a:chOff x="3207261" y="2135607"/>
          <a:chExt cx="689910" cy="602421"/>
        </a:xfrm>
      </xdr:grpSpPr>
      <xdr:sp macro="" textlink="">
        <xdr:nvSpPr>
          <xdr:cNvPr id="8" name="Rectangle 7">
            <a:extLst>
              <a:ext uri="{FF2B5EF4-FFF2-40B4-BE49-F238E27FC236}">
                <a16:creationId xmlns:a16="http://schemas.microsoft.com/office/drawing/2014/main" id="{57726E4F-87D0-0E38-0648-167FF75F1380}"/>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25834B00-1B10-A435-92BB-21CB1E6D9122}"/>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9575FE8E-7A7A-BA50-AE83-F786A6A4E61E}"/>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15</xdr:col>
      <xdr:colOff>422024</xdr:colOff>
      <xdr:row>1</xdr:row>
      <xdr:rowOff>104775</xdr:rowOff>
    </xdr:from>
    <xdr:to>
      <xdr:col>16</xdr:col>
      <xdr:colOff>371469</xdr:colOff>
      <xdr:row>3</xdr:row>
      <xdr:rowOff>73179</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2BB6B64B-5835-40DC-BA56-A7AA4AFDA728}"/>
            </a:ext>
          </a:extLst>
        </xdr:cNvPr>
        <xdr:cNvGrpSpPr/>
      </xdr:nvGrpSpPr>
      <xdr:grpSpPr>
        <a:xfrm rot="10800000">
          <a:off x="12220324" y="288925"/>
          <a:ext cx="559045" cy="349404"/>
          <a:chOff x="3185180" y="2135611"/>
          <a:chExt cx="648224" cy="602421"/>
        </a:xfrm>
      </xdr:grpSpPr>
      <xdr:sp macro="" textlink="">
        <xdr:nvSpPr>
          <xdr:cNvPr id="12" name="Rectangle 11">
            <a:extLst>
              <a:ext uri="{FF2B5EF4-FFF2-40B4-BE49-F238E27FC236}">
                <a16:creationId xmlns:a16="http://schemas.microsoft.com/office/drawing/2014/main" id="{1B707FE0-47FC-C8AD-751E-D5A032BD95DE}"/>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2DD3979A-E25F-72C2-E8DA-9FDD410D7357}"/>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0F30E8C8-7E36-ECF0-478B-D42EA661E46C}"/>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13</xdr:col>
      <xdr:colOff>342423</xdr:colOff>
      <xdr:row>1</xdr:row>
      <xdr:rowOff>149381</xdr:rowOff>
    </xdr:from>
    <xdr:to>
      <xdr:col>13</xdr:col>
      <xdr:colOff>596579</xdr:colOff>
      <xdr:row>3</xdr:row>
      <xdr:rowOff>11128</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5EED7244-030D-469F-B32C-6DFD528227EC}"/>
            </a:ext>
          </a:extLst>
        </xdr:cNvPr>
        <xdr:cNvGrpSpPr/>
      </xdr:nvGrpSpPr>
      <xdr:grpSpPr>
        <a:xfrm>
          <a:off x="10921523" y="333531"/>
          <a:ext cx="254156" cy="242747"/>
          <a:chOff x="5270413" y="829190"/>
          <a:chExt cx="251434" cy="252272"/>
        </a:xfrm>
      </xdr:grpSpPr>
      <xdr:sp macro="" textlink="">
        <xdr:nvSpPr>
          <xdr:cNvPr id="16" name="Rectangle 15">
            <a:extLst>
              <a:ext uri="{FF2B5EF4-FFF2-40B4-BE49-F238E27FC236}">
                <a16:creationId xmlns:a16="http://schemas.microsoft.com/office/drawing/2014/main" id="{3EC6932B-698B-2F8E-1A02-A407A76C43A6}"/>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0B369F8C-1225-9821-C3E9-050038C5F055}"/>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B778E2EF-A7C4-82C3-21E0-91A63D642B9A}"/>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9E5B688A-61E3-5417-97FD-6D6BCF97BC0E}"/>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5C68D891-7B37-B0D5-DEBD-91ABAC40EE24}"/>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C7F69284-5867-560F-473D-0DF96FB95651}"/>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1BD036D4-771B-6ABC-9EA7-E9FA7F0B8550}"/>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20C86B07-CF73-68B6-8022-A0A524EB6947}"/>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0B6BED9A-6E95-A667-02A5-009DBCC1E6F4}"/>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619125</xdr:colOff>
      <xdr:row>3</xdr:row>
      <xdr:rowOff>152400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54222CAF-0D5B-4798-B91E-80C66ED22A7E}"/>
            </a:ext>
          </a:extLst>
        </xdr:cNvPr>
        <xdr:cNvSpPr/>
      </xdr:nvSpPr>
      <xdr:spPr>
        <a:xfrm>
          <a:off x="180975" y="1905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26947463-6527-47A9-BEFD-D28794C722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219075"/>
          <a:ext cx="361950" cy="361950"/>
        </a:xfrm>
        <a:prstGeom prst="rect">
          <a:avLst/>
        </a:prstGeom>
      </xdr:spPr>
    </xdr:pic>
    <xdr:clientData/>
  </xdr:oneCellAnchor>
  <xdr:twoCellAnchor editAs="absolute">
    <xdr:from>
      <xdr:col>11</xdr:col>
      <xdr:colOff>628650</xdr:colOff>
      <xdr:row>1</xdr:row>
      <xdr:rowOff>133352</xdr:rowOff>
    </xdr:from>
    <xdr:to>
      <xdr:col>12</xdr:col>
      <xdr:colOff>790569</xdr:colOff>
      <xdr:row>3</xdr:row>
      <xdr:rowOff>47852</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EF43552C-6664-4098-A5EC-13F989FFCC69}"/>
            </a:ext>
          </a:extLst>
        </xdr:cNvPr>
        <xdr:cNvGrpSpPr/>
      </xdr:nvGrpSpPr>
      <xdr:grpSpPr>
        <a:xfrm>
          <a:off x="9798050" y="336552"/>
          <a:ext cx="987419" cy="320900"/>
          <a:chOff x="3615235" y="2135609"/>
          <a:chExt cx="1011478" cy="463990"/>
        </a:xfrm>
      </xdr:grpSpPr>
      <xdr:sp macro="" textlink="">
        <xdr:nvSpPr>
          <xdr:cNvPr id="4" name="Rectangle 3">
            <a:extLst>
              <a:ext uri="{FF2B5EF4-FFF2-40B4-BE49-F238E27FC236}">
                <a16:creationId xmlns:a16="http://schemas.microsoft.com/office/drawing/2014/main" id="{D2487DAA-FFB4-29FA-2AB9-8D01FE6226A4}"/>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CCD0B703-449C-A2F4-9CE3-4DFCE689FA56}"/>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845FB825-6ADF-95A0-678C-F2BB65518A69}"/>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13</xdr:col>
      <xdr:colOff>710408</xdr:colOff>
      <xdr:row>1</xdr:row>
      <xdr:rowOff>85727</xdr:rowOff>
    </xdr:from>
    <xdr:to>
      <xdr:col>14</xdr:col>
      <xdr:colOff>508219</xdr:colOff>
      <xdr:row>3</xdr:row>
      <xdr:rowOff>82706</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9E74A303-C5BC-4507-80C4-808D5D51EB31}"/>
            </a:ext>
          </a:extLst>
        </xdr:cNvPr>
        <xdr:cNvGrpSpPr/>
      </xdr:nvGrpSpPr>
      <xdr:grpSpPr>
        <a:xfrm>
          <a:off x="11530808" y="288927"/>
          <a:ext cx="623311" cy="403379"/>
          <a:chOff x="3207261" y="2135607"/>
          <a:chExt cx="689910" cy="602421"/>
        </a:xfrm>
      </xdr:grpSpPr>
      <xdr:sp macro="" textlink="">
        <xdr:nvSpPr>
          <xdr:cNvPr id="8" name="Rectangle 7">
            <a:extLst>
              <a:ext uri="{FF2B5EF4-FFF2-40B4-BE49-F238E27FC236}">
                <a16:creationId xmlns:a16="http://schemas.microsoft.com/office/drawing/2014/main" id="{EE2C0626-16EC-DFB6-A53C-E4364A84451C}"/>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509C0FA2-A87D-0AF5-83EC-5B417485A59B}"/>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5A3792FE-5A41-1D44-D81B-AAF3B75AE712}"/>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14</xdr:col>
      <xdr:colOff>736349</xdr:colOff>
      <xdr:row>1</xdr:row>
      <xdr:rowOff>85725</xdr:rowOff>
    </xdr:from>
    <xdr:to>
      <xdr:col>15</xdr:col>
      <xdr:colOff>504819</xdr:colOff>
      <xdr:row>3</xdr:row>
      <xdr:rowOff>82704</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C500691E-E6FC-4011-B61F-27B42250BD60}"/>
            </a:ext>
          </a:extLst>
        </xdr:cNvPr>
        <xdr:cNvGrpSpPr/>
      </xdr:nvGrpSpPr>
      <xdr:grpSpPr>
        <a:xfrm rot="10800000">
          <a:off x="12382249" y="288925"/>
          <a:ext cx="593970" cy="403379"/>
          <a:chOff x="3185180" y="2135611"/>
          <a:chExt cx="648224" cy="602421"/>
        </a:xfrm>
      </xdr:grpSpPr>
      <xdr:sp macro="" textlink="">
        <xdr:nvSpPr>
          <xdr:cNvPr id="12" name="Rectangle 11">
            <a:extLst>
              <a:ext uri="{FF2B5EF4-FFF2-40B4-BE49-F238E27FC236}">
                <a16:creationId xmlns:a16="http://schemas.microsoft.com/office/drawing/2014/main" id="{1B0E1168-644D-424C-88FB-F2520C2B41F8}"/>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65EB06DD-5015-4000-E1C4-E49016110B61}"/>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DF5FB3CB-A915-CCD0-92DF-107BBD8CEA39}"/>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13</xdr:col>
      <xdr:colOff>228123</xdr:colOff>
      <xdr:row>1</xdr:row>
      <xdr:rowOff>130331</xdr:rowOff>
    </xdr:from>
    <xdr:to>
      <xdr:col>13</xdr:col>
      <xdr:colOff>482279</xdr:colOff>
      <xdr:row>3</xdr:row>
      <xdr:rowOff>20653</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B6F82CBF-0499-4D95-84CD-71BE6CF1834D}"/>
            </a:ext>
          </a:extLst>
        </xdr:cNvPr>
        <xdr:cNvGrpSpPr/>
      </xdr:nvGrpSpPr>
      <xdr:grpSpPr>
        <a:xfrm>
          <a:off x="11048523" y="333531"/>
          <a:ext cx="254156" cy="296722"/>
          <a:chOff x="5270413" y="829190"/>
          <a:chExt cx="251434" cy="252272"/>
        </a:xfrm>
      </xdr:grpSpPr>
      <xdr:sp macro="" textlink="">
        <xdr:nvSpPr>
          <xdr:cNvPr id="16" name="Rectangle 15">
            <a:extLst>
              <a:ext uri="{FF2B5EF4-FFF2-40B4-BE49-F238E27FC236}">
                <a16:creationId xmlns:a16="http://schemas.microsoft.com/office/drawing/2014/main" id="{A0DD9D32-81D8-E7C7-0B90-E18344FD6862}"/>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16368CA7-3E7B-ED5F-3EA8-0878BCD014CD}"/>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1AB0F989-A647-D7B5-3DF1-51FCD85A06C2}"/>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4F6CF73B-A400-6309-4336-2DD3200213F4}"/>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D1A34447-24E8-8E65-D312-0A455015F5CE}"/>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801C70B2-85FB-C78D-9574-05738B17BD04}"/>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82DA8466-6F88-7AF3-8EEA-6666B8EC19A7}"/>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ED02E0AC-4F50-AEAE-8558-0FA311CD8E8C}"/>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67FCC45D-5A54-441D-C206-852A8D90C7E1}"/>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4</xdr:col>
      <xdr:colOff>171450</xdr:colOff>
      <xdr:row>4</xdr:row>
      <xdr:rowOff>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0343F02A-93A4-439C-A8B4-7FF3D55D8F23}"/>
            </a:ext>
          </a:extLst>
        </xdr:cNvPr>
        <xdr:cNvSpPr/>
      </xdr:nvSpPr>
      <xdr:spPr>
        <a:xfrm>
          <a:off x="16192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682BFEC7-1932-427D-B2E3-AA6E2562EB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219075"/>
          <a:ext cx="361950" cy="361950"/>
        </a:xfrm>
        <a:prstGeom prst="rect">
          <a:avLst/>
        </a:prstGeom>
      </xdr:spPr>
    </xdr:pic>
    <xdr:clientData/>
  </xdr:oneCellAnchor>
  <xdr:twoCellAnchor editAs="absolute">
    <xdr:from>
      <xdr:col>11</xdr:col>
      <xdr:colOff>146050</xdr:colOff>
      <xdr:row>1</xdr:row>
      <xdr:rowOff>152402</xdr:rowOff>
    </xdr:from>
    <xdr:to>
      <xdr:col>11</xdr:col>
      <xdr:colOff>1155694</xdr:colOff>
      <xdr:row>3</xdr:row>
      <xdr:rowOff>66902</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06926609-CB7F-4994-9576-18C8C862A85E}"/>
            </a:ext>
          </a:extLst>
        </xdr:cNvPr>
        <xdr:cNvGrpSpPr/>
      </xdr:nvGrpSpPr>
      <xdr:grpSpPr>
        <a:xfrm>
          <a:off x="9823450" y="355602"/>
          <a:ext cx="1009644" cy="320900"/>
          <a:chOff x="3615235" y="2135609"/>
          <a:chExt cx="1011478" cy="463990"/>
        </a:xfrm>
      </xdr:grpSpPr>
      <xdr:sp macro="" textlink="">
        <xdr:nvSpPr>
          <xdr:cNvPr id="4" name="Rectangle 3">
            <a:extLst>
              <a:ext uri="{FF2B5EF4-FFF2-40B4-BE49-F238E27FC236}">
                <a16:creationId xmlns:a16="http://schemas.microsoft.com/office/drawing/2014/main" id="{3E13BE16-8CD9-180A-EA4B-4A08E4A41E4B}"/>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4707309B-70FB-535C-B2AD-357588CC41A1}"/>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32B4930E-E65A-6C4B-DA69-6549CD402781}"/>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12</xdr:col>
      <xdr:colOff>824708</xdr:colOff>
      <xdr:row>1</xdr:row>
      <xdr:rowOff>104777</xdr:rowOff>
    </xdr:from>
    <xdr:to>
      <xdr:col>13</xdr:col>
      <xdr:colOff>403444</xdr:colOff>
      <xdr:row>3</xdr:row>
      <xdr:rowOff>101756</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7E80F61C-6BA4-4B56-ACB0-BBA737B04389}"/>
            </a:ext>
          </a:extLst>
        </xdr:cNvPr>
        <xdr:cNvGrpSpPr/>
      </xdr:nvGrpSpPr>
      <xdr:grpSpPr>
        <a:xfrm>
          <a:off x="11899108" y="307977"/>
          <a:ext cx="709036" cy="403379"/>
          <a:chOff x="3207261" y="2135607"/>
          <a:chExt cx="689910" cy="602421"/>
        </a:xfrm>
      </xdr:grpSpPr>
      <xdr:sp macro="" textlink="">
        <xdr:nvSpPr>
          <xdr:cNvPr id="8" name="Rectangle 7">
            <a:extLst>
              <a:ext uri="{FF2B5EF4-FFF2-40B4-BE49-F238E27FC236}">
                <a16:creationId xmlns:a16="http://schemas.microsoft.com/office/drawing/2014/main" id="{6C555222-97CD-7F03-A478-6092D530C10B}"/>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7C30979E-BED8-9DA0-D506-4324F936F58E}"/>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F636C23C-206E-C0D1-8D74-9964D4CF60F5}"/>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13</xdr:col>
      <xdr:colOff>631574</xdr:colOff>
      <xdr:row>1</xdr:row>
      <xdr:rowOff>104775</xdr:rowOff>
    </xdr:from>
    <xdr:to>
      <xdr:col>15</xdr:col>
      <xdr:colOff>180969</xdr:colOff>
      <xdr:row>3</xdr:row>
      <xdr:rowOff>101754</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4C723506-CF2C-49E5-8F27-EE08B08723C3}"/>
            </a:ext>
          </a:extLst>
        </xdr:cNvPr>
        <xdr:cNvGrpSpPr/>
      </xdr:nvGrpSpPr>
      <xdr:grpSpPr>
        <a:xfrm rot="10800000">
          <a:off x="12836274" y="307975"/>
          <a:ext cx="609845" cy="403379"/>
          <a:chOff x="3185180" y="2135611"/>
          <a:chExt cx="648224" cy="602421"/>
        </a:xfrm>
      </xdr:grpSpPr>
      <xdr:sp macro="" textlink="">
        <xdr:nvSpPr>
          <xdr:cNvPr id="12" name="Rectangle 11">
            <a:extLst>
              <a:ext uri="{FF2B5EF4-FFF2-40B4-BE49-F238E27FC236}">
                <a16:creationId xmlns:a16="http://schemas.microsoft.com/office/drawing/2014/main" id="{EDC1F0FD-D088-AE0E-0633-A10598EC79E9}"/>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4664772A-EF72-F48F-762C-ED79F587936D}"/>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F7A49B08-61AE-414B-CA46-D6356FCA9729}"/>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12</xdr:col>
      <xdr:colOff>342423</xdr:colOff>
      <xdr:row>1</xdr:row>
      <xdr:rowOff>149381</xdr:rowOff>
    </xdr:from>
    <xdr:to>
      <xdr:col>12</xdr:col>
      <xdr:colOff>596579</xdr:colOff>
      <xdr:row>3</xdr:row>
      <xdr:rowOff>39703</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6727809F-0F09-4746-BD5F-4770B988140C}"/>
            </a:ext>
          </a:extLst>
        </xdr:cNvPr>
        <xdr:cNvGrpSpPr/>
      </xdr:nvGrpSpPr>
      <xdr:grpSpPr>
        <a:xfrm>
          <a:off x="11416823" y="352581"/>
          <a:ext cx="254156" cy="296722"/>
          <a:chOff x="5270413" y="829190"/>
          <a:chExt cx="251434" cy="252272"/>
        </a:xfrm>
      </xdr:grpSpPr>
      <xdr:sp macro="" textlink="">
        <xdr:nvSpPr>
          <xdr:cNvPr id="16" name="Rectangle 15">
            <a:extLst>
              <a:ext uri="{FF2B5EF4-FFF2-40B4-BE49-F238E27FC236}">
                <a16:creationId xmlns:a16="http://schemas.microsoft.com/office/drawing/2014/main" id="{AC627358-52E3-08C1-665E-0706BB9EC0A4}"/>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34FA54F4-7522-853F-7902-79FF06CDA988}"/>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F9FFB5A1-9E73-B859-AB62-CE960B623E1D}"/>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ABAD4132-C9FB-456D-2BE2-7DFF6FE7F530}"/>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9AD7B344-911E-28CD-1C79-D8554C2A7404}"/>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B95DDD56-E50D-917A-6BB4-690A91AF32E6}"/>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07C3CC1A-E167-0741-75C5-6A60C5698CAC}"/>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E1614591-9C84-4947-6729-48736062CBCD}"/>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9196B4F1-A560-2F76-D941-413A6D417158}"/>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4</xdr:col>
      <xdr:colOff>171450</xdr:colOff>
      <xdr:row>4</xdr:row>
      <xdr:rowOff>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C1BCBB5F-3008-47C2-B929-E07C2F8E466F}"/>
            </a:ext>
          </a:extLst>
        </xdr:cNvPr>
        <xdr:cNvSpPr/>
      </xdr:nvSpPr>
      <xdr:spPr>
        <a:xfrm>
          <a:off x="16192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219075</xdr:colOff>
      <xdr:row>11</xdr:row>
      <xdr:rowOff>0</xdr:rowOff>
    </xdr:from>
    <xdr:to>
      <xdr:col>3</xdr:col>
      <xdr:colOff>1619250</xdr:colOff>
      <xdr:row>27</xdr:row>
      <xdr:rowOff>0</xdr:rowOff>
    </xdr:to>
    <xdr:grpSp>
      <xdr:nvGrpSpPr>
        <xdr:cNvPr id="8" name="Group 7">
          <a:extLst>
            <a:ext uri="{FF2B5EF4-FFF2-40B4-BE49-F238E27FC236}">
              <a16:creationId xmlns:a16="http://schemas.microsoft.com/office/drawing/2014/main" id="{EA621054-E750-4D01-BE44-A3F659A83C59}"/>
            </a:ext>
          </a:extLst>
        </xdr:cNvPr>
        <xdr:cNvGrpSpPr/>
      </xdr:nvGrpSpPr>
      <xdr:grpSpPr>
        <a:xfrm>
          <a:off x="6302375" y="2235200"/>
          <a:ext cx="1400175" cy="3251200"/>
          <a:chOff x="5991225" y="2105025"/>
          <a:chExt cx="1476375" cy="3067050"/>
        </a:xfrm>
      </xdr:grpSpPr>
      <xdr:sp macro="" textlink="">
        <xdr:nvSpPr>
          <xdr:cNvPr id="9" name="Right Brace 8">
            <a:extLst>
              <a:ext uri="{FF2B5EF4-FFF2-40B4-BE49-F238E27FC236}">
                <a16:creationId xmlns:a16="http://schemas.microsoft.com/office/drawing/2014/main" id="{3B867CD0-4240-4D39-B17E-5C29D3269B3C}"/>
              </a:ext>
            </a:extLst>
          </xdr:cNvPr>
          <xdr:cNvSpPr/>
        </xdr:nvSpPr>
        <xdr:spPr>
          <a:xfrm>
            <a:off x="5991225" y="2105025"/>
            <a:ext cx="809625" cy="3067050"/>
          </a:xfrm>
          <a:prstGeom prst="rightBrace">
            <a:avLst>
              <a:gd name="adj1" fmla="val 58333"/>
              <a:gd name="adj2" fmla="val 50000"/>
            </a:avLst>
          </a:prstGeom>
          <a:noFill/>
          <a:ln w="28575">
            <a:solidFill>
              <a:srgbClr val="F4CF3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H" sz="1100"/>
          </a:p>
        </xdr:txBody>
      </xdr:sp>
      <xdr:sp macro="" textlink="">
        <xdr:nvSpPr>
          <xdr:cNvPr id="10" name="Arrow: Right 9">
            <a:extLst>
              <a:ext uri="{FF2B5EF4-FFF2-40B4-BE49-F238E27FC236}">
                <a16:creationId xmlns:a16="http://schemas.microsoft.com/office/drawing/2014/main" id="{84BE7C5A-B02F-4518-B47D-CC5B167D9498}"/>
              </a:ext>
            </a:extLst>
          </xdr:cNvPr>
          <xdr:cNvSpPr/>
        </xdr:nvSpPr>
        <xdr:spPr>
          <a:xfrm>
            <a:off x="6477000" y="3362325"/>
            <a:ext cx="990600" cy="542925"/>
          </a:xfrm>
          <a:prstGeom prst="rightArrow">
            <a:avLst/>
          </a:prstGeom>
          <a:solidFill>
            <a:srgbClr val="193E64"/>
          </a:solidFill>
          <a:ln w="28575">
            <a:solidFill>
              <a:srgbClr val="F4CF3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pSp>
    <xdr:clientData/>
  </xdr:twoCellAnchor>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A3561B7B-788C-4637-89A2-BEFA634656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219075"/>
          <a:ext cx="361950" cy="361950"/>
        </a:xfrm>
        <a:prstGeom prst="rect">
          <a:avLst/>
        </a:prstGeom>
      </xdr:spPr>
    </xdr:pic>
    <xdr:clientData/>
  </xdr:oneCellAnchor>
  <xdr:twoCellAnchor editAs="absolute">
    <xdr:from>
      <xdr:col>6</xdr:col>
      <xdr:colOff>295275</xdr:colOff>
      <xdr:row>1</xdr:row>
      <xdr:rowOff>142877</xdr:rowOff>
    </xdr:from>
    <xdr:to>
      <xdr:col>6</xdr:col>
      <xdr:colOff>1247769</xdr:colOff>
      <xdr:row>3</xdr:row>
      <xdr:rowOff>57377</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3BFB721A-5509-40E5-A87A-1C55E09F2489}"/>
            </a:ext>
          </a:extLst>
        </xdr:cNvPr>
        <xdr:cNvGrpSpPr/>
      </xdr:nvGrpSpPr>
      <xdr:grpSpPr>
        <a:xfrm>
          <a:off x="9820275" y="346077"/>
          <a:ext cx="952494" cy="320900"/>
          <a:chOff x="3615235" y="2135609"/>
          <a:chExt cx="1011478" cy="463990"/>
        </a:xfrm>
      </xdr:grpSpPr>
      <xdr:sp macro="" textlink="">
        <xdr:nvSpPr>
          <xdr:cNvPr id="4" name="Rectangle 3">
            <a:extLst>
              <a:ext uri="{FF2B5EF4-FFF2-40B4-BE49-F238E27FC236}">
                <a16:creationId xmlns:a16="http://schemas.microsoft.com/office/drawing/2014/main" id="{CD9F2D02-53AC-557E-999D-BFDB05BB0FBF}"/>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94A190D2-42B1-7726-4EE3-A4F377C94D23}"/>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8FA4B987-330E-BDDF-B978-C273F4B9109E}"/>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7</xdr:col>
      <xdr:colOff>662783</xdr:colOff>
      <xdr:row>1</xdr:row>
      <xdr:rowOff>95252</xdr:rowOff>
    </xdr:from>
    <xdr:to>
      <xdr:col>8</xdr:col>
      <xdr:colOff>203419</xdr:colOff>
      <xdr:row>3</xdr:row>
      <xdr:rowOff>92231</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7409D2B7-9423-4D5A-9D76-653FCC7F2B95}"/>
            </a:ext>
          </a:extLst>
        </xdr:cNvPr>
        <xdr:cNvGrpSpPr/>
      </xdr:nvGrpSpPr>
      <xdr:grpSpPr>
        <a:xfrm>
          <a:off x="11546683" y="298452"/>
          <a:ext cx="639186" cy="403379"/>
          <a:chOff x="3207261" y="2135607"/>
          <a:chExt cx="689910" cy="602421"/>
        </a:xfrm>
      </xdr:grpSpPr>
      <xdr:sp macro="" textlink="">
        <xdr:nvSpPr>
          <xdr:cNvPr id="11" name="Rectangle 10">
            <a:extLst>
              <a:ext uri="{FF2B5EF4-FFF2-40B4-BE49-F238E27FC236}">
                <a16:creationId xmlns:a16="http://schemas.microsoft.com/office/drawing/2014/main" id="{769CCC15-6628-65FD-F521-D8F12AF8697C}"/>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2" name="Graphic 3" descr="Back with solid fill">
            <a:extLst>
              <a:ext uri="{FF2B5EF4-FFF2-40B4-BE49-F238E27FC236}">
                <a16:creationId xmlns:a16="http://schemas.microsoft.com/office/drawing/2014/main" id="{4082AFB0-C68F-F506-F0E2-9361E3EC24AB}"/>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3" name="TextBox 12">
            <a:extLst>
              <a:ext uri="{FF2B5EF4-FFF2-40B4-BE49-F238E27FC236}">
                <a16:creationId xmlns:a16="http://schemas.microsoft.com/office/drawing/2014/main" id="{C46ED711-C549-B125-7859-5748F95EF30C}"/>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8</xdr:col>
      <xdr:colOff>431549</xdr:colOff>
      <xdr:row>1</xdr:row>
      <xdr:rowOff>95250</xdr:rowOff>
    </xdr:from>
    <xdr:to>
      <xdr:col>8</xdr:col>
      <xdr:colOff>990594</xdr:colOff>
      <xdr:row>3</xdr:row>
      <xdr:rowOff>92229</xdr:rowOff>
    </xdr:to>
    <xdr:grpSp>
      <xdr:nvGrpSpPr>
        <xdr:cNvPr id="14" name="Group 13">
          <a:hlinkClick xmlns:r="http://schemas.openxmlformats.org/officeDocument/2006/relationships" r:id="rId4" tooltip="Go to Next page"/>
          <a:extLst>
            <a:ext uri="{FF2B5EF4-FFF2-40B4-BE49-F238E27FC236}">
              <a16:creationId xmlns:a16="http://schemas.microsoft.com/office/drawing/2014/main" id="{B8E86648-FDAA-40A0-90B3-96EF24D03FCD}"/>
            </a:ext>
          </a:extLst>
        </xdr:cNvPr>
        <xdr:cNvGrpSpPr/>
      </xdr:nvGrpSpPr>
      <xdr:grpSpPr>
        <a:xfrm rot="10800000">
          <a:off x="12413999" y="298450"/>
          <a:ext cx="559045" cy="403379"/>
          <a:chOff x="3185180" y="2135611"/>
          <a:chExt cx="648224" cy="602421"/>
        </a:xfrm>
      </xdr:grpSpPr>
      <xdr:sp macro="" textlink="">
        <xdr:nvSpPr>
          <xdr:cNvPr id="15" name="Rectangle 14">
            <a:extLst>
              <a:ext uri="{FF2B5EF4-FFF2-40B4-BE49-F238E27FC236}">
                <a16:creationId xmlns:a16="http://schemas.microsoft.com/office/drawing/2014/main" id="{73110EC2-5A3A-A320-CE08-0A3AFD22F556}"/>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6" name="Graphic 3" descr="Back with solid fill">
            <a:extLst>
              <a:ext uri="{FF2B5EF4-FFF2-40B4-BE49-F238E27FC236}">
                <a16:creationId xmlns:a16="http://schemas.microsoft.com/office/drawing/2014/main" id="{20D6A2E6-2186-B12B-9646-2C32B5351486}"/>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7" name="TextBox 16">
            <a:extLst>
              <a:ext uri="{FF2B5EF4-FFF2-40B4-BE49-F238E27FC236}">
                <a16:creationId xmlns:a16="http://schemas.microsoft.com/office/drawing/2014/main" id="{E8941654-F0CB-139C-9EA4-ADCF66D44B72}"/>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7</xdr:col>
      <xdr:colOff>180498</xdr:colOff>
      <xdr:row>1</xdr:row>
      <xdr:rowOff>139856</xdr:rowOff>
    </xdr:from>
    <xdr:to>
      <xdr:col>7</xdr:col>
      <xdr:colOff>434654</xdr:colOff>
      <xdr:row>3</xdr:row>
      <xdr:rowOff>30178</xdr:rowOff>
    </xdr:to>
    <xdr:grpSp>
      <xdr:nvGrpSpPr>
        <xdr:cNvPr id="18" name="Group 17">
          <a:hlinkClick xmlns:r="http://schemas.openxmlformats.org/officeDocument/2006/relationships" r:id="rId5" tooltip="Go to Gallery"/>
          <a:extLst>
            <a:ext uri="{FF2B5EF4-FFF2-40B4-BE49-F238E27FC236}">
              <a16:creationId xmlns:a16="http://schemas.microsoft.com/office/drawing/2014/main" id="{980FA6C0-C5F6-4451-ACFB-31769978DA19}"/>
            </a:ext>
          </a:extLst>
        </xdr:cNvPr>
        <xdr:cNvGrpSpPr/>
      </xdr:nvGrpSpPr>
      <xdr:grpSpPr>
        <a:xfrm>
          <a:off x="11064398" y="343056"/>
          <a:ext cx="254156" cy="296722"/>
          <a:chOff x="5270413" y="829190"/>
          <a:chExt cx="251434" cy="252272"/>
        </a:xfrm>
      </xdr:grpSpPr>
      <xdr:sp macro="" textlink="">
        <xdr:nvSpPr>
          <xdr:cNvPr id="19" name="Rectangle 18">
            <a:extLst>
              <a:ext uri="{FF2B5EF4-FFF2-40B4-BE49-F238E27FC236}">
                <a16:creationId xmlns:a16="http://schemas.microsoft.com/office/drawing/2014/main" id="{B86454E2-3291-66E6-D8E8-10F66353F841}"/>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BFBBBECF-0C5B-7C8C-DDBC-6CB909B27409}"/>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416932FF-CCF4-473B-5EAC-7C5867738532}"/>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F593C4D1-4E7C-22B9-2E2E-298773537E67}"/>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AB908CEB-73D8-D36B-8BB6-87B2F1AF2398}"/>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C5C11722-92C7-85C0-9109-2BFA7E9D7E7C}"/>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Rectangle 24">
            <a:extLst>
              <a:ext uri="{FF2B5EF4-FFF2-40B4-BE49-F238E27FC236}">
                <a16:creationId xmlns:a16="http://schemas.microsoft.com/office/drawing/2014/main" id="{D91643F6-CC90-A727-2409-95A0ACEB87BB}"/>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6" name="Rectangle 25">
            <a:extLst>
              <a:ext uri="{FF2B5EF4-FFF2-40B4-BE49-F238E27FC236}">
                <a16:creationId xmlns:a16="http://schemas.microsoft.com/office/drawing/2014/main" id="{FE8214F6-2211-27C5-0A32-00014B4616A8}"/>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462A9E0A-B079-982D-EEA0-769278898ECA}"/>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1</xdr:col>
      <xdr:colOff>1924050</xdr:colOff>
      <xdr:row>4</xdr:row>
      <xdr:rowOff>0</xdr:rowOff>
    </xdr:to>
    <xdr:sp macro="" textlink="">
      <xdr:nvSpPr>
        <xdr:cNvPr id="28" name="Rectangle 27">
          <a:hlinkClick xmlns:r="http://schemas.openxmlformats.org/officeDocument/2006/relationships" r:id="rId6" tooltip="Visit our website"/>
          <a:extLst>
            <a:ext uri="{FF2B5EF4-FFF2-40B4-BE49-F238E27FC236}">
              <a16:creationId xmlns:a16="http://schemas.microsoft.com/office/drawing/2014/main" id="{9E650A22-2784-45B4-8E62-3773F65DD721}"/>
            </a:ext>
          </a:extLst>
        </xdr:cNvPr>
        <xdr:cNvSpPr/>
      </xdr:nvSpPr>
      <xdr:spPr>
        <a:xfrm>
          <a:off x="190500"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114303</xdr:colOff>
      <xdr:row>10</xdr:row>
      <xdr:rowOff>85731</xdr:rowOff>
    </xdr:from>
    <xdr:to>
      <xdr:col>2</xdr:col>
      <xdr:colOff>0</xdr:colOff>
      <xdr:row>19</xdr:row>
      <xdr:rowOff>114300</xdr:rowOff>
    </xdr:to>
    <xdr:grpSp>
      <xdr:nvGrpSpPr>
        <xdr:cNvPr id="35" name="Group 34">
          <a:extLst>
            <a:ext uri="{FF2B5EF4-FFF2-40B4-BE49-F238E27FC236}">
              <a16:creationId xmlns:a16="http://schemas.microsoft.com/office/drawing/2014/main" id="{577911B2-0B5B-4F30-BAC5-B31D257912BE}"/>
            </a:ext>
          </a:extLst>
        </xdr:cNvPr>
        <xdr:cNvGrpSpPr/>
      </xdr:nvGrpSpPr>
      <xdr:grpSpPr>
        <a:xfrm>
          <a:off x="114303" y="1783520"/>
          <a:ext cx="193171" cy="1545885"/>
          <a:chOff x="95253" y="1743081"/>
          <a:chExt cx="216008" cy="1428747"/>
        </a:xfrm>
      </xdr:grpSpPr>
      <xdr:cxnSp macro="">
        <xdr:nvCxnSpPr>
          <xdr:cNvPr id="15" name="Connector: Elbow 14">
            <a:extLst>
              <a:ext uri="{FF2B5EF4-FFF2-40B4-BE49-F238E27FC236}">
                <a16:creationId xmlns:a16="http://schemas.microsoft.com/office/drawing/2014/main" id="{B69D3236-4ECC-4C3F-9913-9FA0C64D67F9}"/>
              </a:ext>
            </a:extLst>
          </xdr:cNvPr>
          <xdr:cNvCxnSpPr/>
        </xdr:nvCxnSpPr>
        <xdr:spPr>
          <a:xfrm flipV="1">
            <a:off x="95253" y="1743081"/>
            <a:ext cx="216000" cy="792000"/>
          </a:xfrm>
          <a:prstGeom prst="bentConnector3">
            <a:avLst>
              <a:gd name="adj1" fmla="val 1852"/>
            </a:avLst>
          </a:prstGeom>
          <a:ln w="28575">
            <a:solidFill>
              <a:schemeClr val="tx1">
                <a:lumMod val="95000"/>
                <a:lumOff val="5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 name="Connector: Elbow 30">
            <a:extLst>
              <a:ext uri="{FF2B5EF4-FFF2-40B4-BE49-F238E27FC236}">
                <a16:creationId xmlns:a16="http://schemas.microsoft.com/office/drawing/2014/main" id="{EEF8E298-627A-4F24-8CE2-DE29ECC8B07C}"/>
              </a:ext>
            </a:extLst>
          </xdr:cNvPr>
          <xdr:cNvCxnSpPr/>
        </xdr:nvCxnSpPr>
        <xdr:spPr>
          <a:xfrm rot="16200000" flipH="1">
            <a:off x="-192739" y="2667828"/>
            <a:ext cx="792000" cy="216000"/>
          </a:xfrm>
          <a:prstGeom prst="bentConnector3">
            <a:avLst>
              <a:gd name="adj1" fmla="val 100695"/>
            </a:avLst>
          </a:prstGeom>
          <a:ln w="28575">
            <a:solidFill>
              <a:schemeClr val="tx1">
                <a:lumMod val="95000"/>
                <a:lumOff val="5000"/>
              </a:schemeClr>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DBC639DF-CEE9-44CD-9C0A-CFAC1FC119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219075"/>
          <a:ext cx="361950" cy="361950"/>
        </a:xfrm>
        <a:prstGeom prst="rect">
          <a:avLst/>
        </a:prstGeom>
      </xdr:spPr>
    </xdr:pic>
    <xdr:clientData/>
  </xdr:oneCellAnchor>
  <xdr:twoCellAnchor editAs="absolute">
    <xdr:from>
      <xdr:col>8</xdr:col>
      <xdr:colOff>1009650</xdr:colOff>
      <xdr:row>1</xdr:row>
      <xdr:rowOff>142877</xdr:rowOff>
    </xdr:from>
    <xdr:to>
      <xdr:col>9</xdr:col>
      <xdr:colOff>733419</xdr:colOff>
      <xdr:row>3</xdr:row>
      <xdr:rowOff>57377</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A8F1E4D0-1FF2-432B-A420-BDBDAEE50174}"/>
            </a:ext>
          </a:extLst>
        </xdr:cNvPr>
        <xdr:cNvGrpSpPr/>
      </xdr:nvGrpSpPr>
      <xdr:grpSpPr>
        <a:xfrm>
          <a:off x="9812755" y="343403"/>
          <a:ext cx="1013822" cy="315553"/>
          <a:chOff x="3615235" y="2135609"/>
          <a:chExt cx="1011478" cy="463990"/>
        </a:xfrm>
      </xdr:grpSpPr>
      <xdr:sp macro="" textlink="">
        <xdr:nvSpPr>
          <xdr:cNvPr id="4" name="Rectangle 3">
            <a:extLst>
              <a:ext uri="{FF2B5EF4-FFF2-40B4-BE49-F238E27FC236}">
                <a16:creationId xmlns:a16="http://schemas.microsoft.com/office/drawing/2014/main" id="{58D0C2A3-56F3-9EFA-2C75-B922987C0E9E}"/>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0FB0E13B-67F6-8728-A466-01723EAF80F1}"/>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C6428703-EAC2-9BDD-BC13-C8F446552051}"/>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10</xdr:col>
      <xdr:colOff>224633</xdr:colOff>
      <xdr:row>1</xdr:row>
      <xdr:rowOff>95252</xdr:rowOff>
    </xdr:from>
    <xdr:to>
      <xdr:col>10</xdr:col>
      <xdr:colOff>813019</xdr:colOff>
      <xdr:row>3</xdr:row>
      <xdr:rowOff>92231</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83EDACF7-701E-43D1-A7BD-E5A37C5BBAC8}"/>
            </a:ext>
          </a:extLst>
        </xdr:cNvPr>
        <xdr:cNvGrpSpPr/>
      </xdr:nvGrpSpPr>
      <xdr:grpSpPr>
        <a:xfrm>
          <a:off x="11594475" y="295778"/>
          <a:ext cx="588386" cy="398032"/>
          <a:chOff x="3207261" y="2135607"/>
          <a:chExt cx="689910" cy="602421"/>
        </a:xfrm>
      </xdr:grpSpPr>
      <xdr:sp macro="" textlink="">
        <xdr:nvSpPr>
          <xdr:cNvPr id="8" name="Rectangle 7">
            <a:extLst>
              <a:ext uri="{FF2B5EF4-FFF2-40B4-BE49-F238E27FC236}">
                <a16:creationId xmlns:a16="http://schemas.microsoft.com/office/drawing/2014/main" id="{2D2FA9B9-778B-781A-6783-4671931DB5A1}"/>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E0A884B3-D3DA-D4A6-0EC9-F788BD521085}"/>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E94B7A80-DB47-82B7-3E68-D694DD457EAC}"/>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10</xdr:col>
      <xdr:colOff>1041149</xdr:colOff>
      <xdr:row>1</xdr:row>
      <xdr:rowOff>95250</xdr:rowOff>
    </xdr:from>
    <xdr:to>
      <xdr:col>10</xdr:col>
      <xdr:colOff>1600194</xdr:colOff>
      <xdr:row>3</xdr:row>
      <xdr:rowOff>92229</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110C1F5E-974B-46ED-B4DF-A0BC6E1A78BE}"/>
            </a:ext>
          </a:extLst>
        </xdr:cNvPr>
        <xdr:cNvGrpSpPr/>
      </xdr:nvGrpSpPr>
      <xdr:grpSpPr>
        <a:xfrm rot="10800000">
          <a:off x="12410991" y="295776"/>
          <a:ext cx="559045" cy="398032"/>
          <a:chOff x="3185180" y="2135611"/>
          <a:chExt cx="648224" cy="602421"/>
        </a:xfrm>
      </xdr:grpSpPr>
      <xdr:sp macro="" textlink="">
        <xdr:nvSpPr>
          <xdr:cNvPr id="12" name="Rectangle 11">
            <a:extLst>
              <a:ext uri="{FF2B5EF4-FFF2-40B4-BE49-F238E27FC236}">
                <a16:creationId xmlns:a16="http://schemas.microsoft.com/office/drawing/2014/main" id="{18A42407-A513-BEB6-4EB2-98CA70182093}"/>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6C12237A-F260-1628-5BB3-E3624404B16D}"/>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1997BEE1-196C-3C81-3873-3905759A3B73}"/>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9</xdr:col>
      <xdr:colOff>961548</xdr:colOff>
      <xdr:row>1</xdr:row>
      <xdr:rowOff>139856</xdr:rowOff>
    </xdr:from>
    <xdr:to>
      <xdr:col>9</xdr:col>
      <xdr:colOff>1215704</xdr:colOff>
      <xdr:row>3</xdr:row>
      <xdr:rowOff>30178</xdr:rowOff>
    </xdr:to>
    <xdr:grpSp>
      <xdr:nvGrpSpPr>
        <xdr:cNvPr id="16" name="Group 15">
          <a:hlinkClick xmlns:r="http://schemas.openxmlformats.org/officeDocument/2006/relationships" r:id="rId5" tooltip="Go to Gallery"/>
          <a:extLst>
            <a:ext uri="{FF2B5EF4-FFF2-40B4-BE49-F238E27FC236}">
              <a16:creationId xmlns:a16="http://schemas.microsoft.com/office/drawing/2014/main" id="{C7F49E96-2998-45CB-84A9-F371A41A04D0}"/>
            </a:ext>
          </a:extLst>
        </xdr:cNvPr>
        <xdr:cNvGrpSpPr/>
      </xdr:nvGrpSpPr>
      <xdr:grpSpPr>
        <a:xfrm>
          <a:off x="11054706" y="340382"/>
          <a:ext cx="254156" cy="291375"/>
          <a:chOff x="5270413" y="829190"/>
          <a:chExt cx="251434" cy="252272"/>
        </a:xfrm>
      </xdr:grpSpPr>
      <xdr:sp macro="" textlink="">
        <xdr:nvSpPr>
          <xdr:cNvPr id="17" name="Rectangle 16">
            <a:extLst>
              <a:ext uri="{FF2B5EF4-FFF2-40B4-BE49-F238E27FC236}">
                <a16:creationId xmlns:a16="http://schemas.microsoft.com/office/drawing/2014/main" id="{3FA70072-5CE4-F72B-1E87-FA50187E86E6}"/>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600EAA84-AB03-598A-9D58-23868EF32BA1}"/>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50926864-A250-6285-F11E-01B065DCAFDA}"/>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AA0345FB-00D8-4D50-E773-15FBAEB79CCD}"/>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95D0CD0A-12DE-43DB-F955-89D135379A71}"/>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D827BE0F-C1B7-67B4-0BB1-556A2A28902C}"/>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00AACDA6-1057-3238-EE6F-A61F061D3330}"/>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6E21886E-63A2-C965-23AC-8511246BC786}"/>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Rectangle 24">
            <a:extLst>
              <a:ext uri="{FF2B5EF4-FFF2-40B4-BE49-F238E27FC236}">
                <a16:creationId xmlns:a16="http://schemas.microsoft.com/office/drawing/2014/main" id="{E3950F64-0130-559B-4839-6FB5046C6E5F}"/>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3</xdr:col>
      <xdr:colOff>885825</xdr:colOff>
      <xdr:row>4</xdr:row>
      <xdr:rowOff>0</xdr:rowOff>
    </xdr:to>
    <xdr:sp macro="" textlink="">
      <xdr:nvSpPr>
        <xdr:cNvPr id="26" name="Rectangle 25">
          <a:hlinkClick xmlns:r="http://schemas.openxmlformats.org/officeDocument/2006/relationships" r:id="rId6" tooltip="Visit our website"/>
          <a:extLst>
            <a:ext uri="{FF2B5EF4-FFF2-40B4-BE49-F238E27FC236}">
              <a16:creationId xmlns:a16="http://schemas.microsoft.com/office/drawing/2014/main" id="{D036E354-EBC8-4DA3-BD1D-9DF66959678A}"/>
            </a:ext>
          </a:extLst>
        </xdr:cNvPr>
        <xdr:cNvSpPr/>
      </xdr:nvSpPr>
      <xdr:spPr>
        <a:xfrm>
          <a:off x="21907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3C94219F-1B65-4064-8986-A5C3D85936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228600"/>
          <a:ext cx="361950" cy="361950"/>
        </a:xfrm>
        <a:prstGeom prst="rect">
          <a:avLst/>
        </a:prstGeom>
      </xdr:spPr>
    </xdr:pic>
    <xdr:clientData/>
  </xdr:oneCellAnchor>
  <xdr:twoCellAnchor editAs="absolute">
    <xdr:from>
      <xdr:col>8</xdr:col>
      <xdr:colOff>1009650</xdr:colOff>
      <xdr:row>1</xdr:row>
      <xdr:rowOff>142877</xdr:rowOff>
    </xdr:from>
    <xdr:to>
      <xdr:col>9</xdr:col>
      <xdr:colOff>828669</xdr:colOff>
      <xdr:row>3</xdr:row>
      <xdr:rowOff>28802</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E5EBF70B-2A1A-4F35-9B28-B13464225C93}"/>
            </a:ext>
          </a:extLst>
        </xdr:cNvPr>
        <xdr:cNvGrpSpPr/>
      </xdr:nvGrpSpPr>
      <xdr:grpSpPr>
        <a:xfrm>
          <a:off x="9804400" y="327027"/>
          <a:ext cx="1006469" cy="266925"/>
          <a:chOff x="3615235" y="2135609"/>
          <a:chExt cx="1011478" cy="463990"/>
        </a:xfrm>
      </xdr:grpSpPr>
      <xdr:sp macro="" textlink="">
        <xdr:nvSpPr>
          <xdr:cNvPr id="4" name="Rectangle 3">
            <a:extLst>
              <a:ext uri="{FF2B5EF4-FFF2-40B4-BE49-F238E27FC236}">
                <a16:creationId xmlns:a16="http://schemas.microsoft.com/office/drawing/2014/main" id="{832A8E3C-DCFC-CB60-7514-F1DE50346A7F}"/>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5F30D732-8D59-C5D8-1EB3-506E7A785BBD}"/>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8F1990C5-82C8-8B76-444D-6E528CB51E9C}"/>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10</xdr:col>
      <xdr:colOff>405608</xdr:colOff>
      <xdr:row>1</xdr:row>
      <xdr:rowOff>95252</xdr:rowOff>
    </xdr:from>
    <xdr:to>
      <xdr:col>10</xdr:col>
      <xdr:colOff>993994</xdr:colOff>
      <xdr:row>3</xdr:row>
      <xdr:rowOff>63656</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275F5296-93E6-4958-B60C-1DF1E12421AF}"/>
            </a:ext>
          </a:extLst>
        </xdr:cNvPr>
        <xdr:cNvGrpSpPr/>
      </xdr:nvGrpSpPr>
      <xdr:grpSpPr>
        <a:xfrm>
          <a:off x="11575258" y="279402"/>
          <a:ext cx="588386" cy="349404"/>
          <a:chOff x="3207261" y="2135607"/>
          <a:chExt cx="689910" cy="602421"/>
        </a:xfrm>
      </xdr:grpSpPr>
      <xdr:sp macro="" textlink="">
        <xdr:nvSpPr>
          <xdr:cNvPr id="8" name="Rectangle 7">
            <a:extLst>
              <a:ext uri="{FF2B5EF4-FFF2-40B4-BE49-F238E27FC236}">
                <a16:creationId xmlns:a16="http://schemas.microsoft.com/office/drawing/2014/main" id="{7E7BA6FB-8311-EBE7-CA5B-AD9474918F8E}"/>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C7213984-9D2C-32CF-8C0C-46DC382C6D3B}"/>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79982D00-3CA6-3C16-91C5-E4BB7DEA5585}"/>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11</xdr:col>
      <xdr:colOff>88649</xdr:colOff>
      <xdr:row>1</xdr:row>
      <xdr:rowOff>95250</xdr:rowOff>
    </xdr:from>
    <xdr:to>
      <xdr:col>11</xdr:col>
      <xdr:colOff>647694</xdr:colOff>
      <xdr:row>3</xdr:row>
      <xdr:rowOff>63654</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B959E331-6FD3-485E-81ED-72BEB3406366}"/>
            </a:ext>
          </a:extLst>
        </xdr:cNvPr>
        <xdr:cNvGrpSpPr/>
      </xdr:nvGrpSpPr>
      <xdr:grpSpPr>
        <a:xfrm rot="10800000">
          <a:off x="12445749" y="279400"/>
          <a:ext cx="559045" cy="349404"/>
          <a:chOff x="3185180" y="2135611"/>
          <a:chExt cx="648224" cy="602421"/>
        </a:xfrm>
      </xdr:grpSpPr>
      <xdr:sp macro="" textlink="">
        <xdr:nvSpPr>
          <xdr:cNvPr id="12" name="Rectangle 11">
            <a:extLst>
              <a:ext uri="{FF2B5EF4-FFF2-40B4-BE49-F238E27FC236}">
                <a16:creationId xmlns:a16="http://schemas.microsoft.com/office/drawing/2014/main" id="{440C6B9F-DD6B-D78A-14E9-F4D87F5BC6BD}"/>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CF31B31D-73C4-44DE-90D0-B9E915827DD5}"/>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E946C26C-EE08-0A3D-97B7-BEA52755E214}"/>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9</xdr:col>
      <xdr:colOff>1056798</xdr:colOff>
      <xdr:row>1</xdr:row>
      <xdr:rowOff>139856</xdr:rowOff>
    </xdr:from>
    <xdr:to>
      <xdr:col>10</xdr:col>
      <xdr:colOff>177479</xdr:colOff>
      <xdr:row>3</xdr:row>
      <xdr:rowOff>1603</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4F2DC0E9-D3F2-4A70-A574-9B26311D0C88}"/>
            </a:ext>
          </a:extLst>
        </xdr:cNvPr>
        <xdr:cNvGrpSpPr/>
      </xdr:nvGrpSpPr>
      <xdr:grpSpPr>
        <a:xfrm>
          <a:off x="11038998" y="324006"/>
          <a:ext cx="308131" cy="242747"/>
          <a:chOff x="5270413" y="829190"/>
          <a:chExt cx="251434" cy="252272"/>
        </a:xfrm>
      </xdr:grpSpPr>
      <xdr:sp macro="" textlink="">
        <xdr:nvSpPr>
          <xdr:cNvPr id="16" name="Rectangle 15">
            <a:extLst>
              <a:ext uri="{FF2B5EF4-FFF2-40B4-BE49-F238E27FC236}">
                <a16:creationId xmlns:a16="http://schemas.microsoft.com/office/drawing/2014/main" id="{067DC2FA-67E5-B48E-0AEC-486BB34A8D3D}"/>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BC8E558E-B377-F5AA-40DA-949F6B0C3020}"/>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459450A8-46C6-B4D2-C1BA-5BD6528E05AB}"/>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0AE75C70-F184-BE91-FE67-CDB4F8577C8F}"/>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50635D91-ED87-878C-2823-A02E4E1BE870}"/>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162A8C05-42C0-E412-01E7-81A32E421A09}"/>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D4223ACC-D827-83D8-041F-DF8BD3CD673D}"/>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9F0CC11C-1A77-0985-EE1A-F4D5F2A50F4E}"/>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4F1A6799-CAF4-CFEB-9FD8-CB7C52E94D2B}"/>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495300</xdr:colOff>
      <xdr:row>3</xdr:row>
      <xdr:rowOff>152400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2987838D-D7A5-4E2D-BC16-E42ADB0E4E13}"/>
            </a:ext>
          </a:extLst>
        </xdr:cNvPr>
        <xdr:cNvSpPr/>
      </xdr:nvSpPr>
      <xdr:spPr>
        <a:xfrm>
          <a:off x="161925" y="1905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93D5D2DF-D090-4892-A1A2-6AAA7CCAB3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228600"/>
          <a:ext cx="361950" cy="361950"/>
        </a:xfrm>
        <a:prstGeom prst="rect">
          <a:avLst/>
        </a:prstGeom>
      </xdr:spPr>
    </xdr:pic>
    <xdr:clientData/>
  </xdr:oneCellAnchor>
  <xdr:twoCellAnchor editAs="absolute">
    <xdr:from>
      <xdr:col>8</xdr:col>
      <xdr:colOff>1000125</xdr:colOff>
      <xdr:row>1</xdr:row>
      <xdr:rowOff>161927</xdr:rowOff>
    </xdr:from>
    <xdr:to>
      <xdr:col>9</xdr:col>
      <xdr:colOff>819144</xdr:colOff>
      <xdr:row>3</xdr:row>
      <xdr:rowOff>47852</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2F5E1D43-C47E-4CBE-9658-27F02DFAEC25}"/>
            </a:ext>
          </a:extLst>
        </xdr:cNvPr>
        <xdr:cNvGrpSpPr/>
      </xdr:nvGrpSpPr>
      <xdr:grpSpPr>
        <a:xfrm>
          <a:off x="9774670" y="349541"/>
          <a:ext cx="1002429" cy="275584"/>
          <a:chOff x="3615235" y="2135609"/>
          <a:chExt cx="1011478" cy="463990"/>
        </a:xfrm>
      </xdr:grpSpPr>
      <xdr:sp macro="" textlink="">
        <xdr:nvSpPr>
          <xdr:cNvPr id="4" name="Rectangle 3">
            <a:extLst>
              <a:ext uri="{FF2B5EF4-FFF2-40B4-BE49-F238E27FC236}">
                <a16:creationId xmlns:a16="http://schemas.microsoft.com/office/drawing/2014/main" id="{DB9EC9A0-EBD9-0960-ECCF-943100B3C30C}"/>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969A948F-A66F-01AC-9870-823A10859B61}"/>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0B573DF9-2919-9F6C-5158-605A79D895A0}"/>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10</xdr:col>
      <xdr:colOff>396083</xdr:colOff>
      <xdr:row>1</xdr:row>
      <xdr:rowOff>114302</xdr:rowOff>
    </xdr:from>
    <xdr:to>
      <xdr:col>10</xdr:col>
      <xdr:colOff>984469</xdr:colOff>
      <xdr:row>3</xdr:row>
      <xdr:rowOff>82706</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7DD606F8-A8F9-4955-A25E-861220B889B4}"/>
            </a:ext>
          </a:extLst>
        </xdr:cNvPr>
        <xdr:cNvGrpSpPr/>
      </xdr:nvGrpSpPr>
      <xdr:grpSpPr>
        <a:xfrm>
          <a:off x="11537447" y="301916"/>
          <a:ext cx="588386" cy="358063"/>
          <a:chOff x="3207261" y="2135607"/>
          <a:chExt cx="689910" cy="602421"/>
        </a:xfrm>
      </xdr:grpSpPr>
      <xdr:sp macro="" textlink="">
        <xdr:nvSpPr>
          <xdr:cNvPr id="8" name="Rectangle 7">
            <a:extLst>
              <a:ext uri="{FF2B5EF4-FFF2-40B4-BE49-F238E27FC236}">
                <a16:creationId xmlns:a16="http://schemas.microsoft.com/office/drawing/2014/main" id="{2D18991B-C5F1-69DE-F4B2-46D37DA82E60}"/>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0859201B-75AE-F82D-4365-9D88D6F627D6}"/>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DD95DE06-1D62-467C-5033-F80D7704712F}"/>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11</xdr:col>
      <xdr:colOff>79124</xdr:colOff>
      <xdr:row>1</xdr:row>
      <xdr:rowOff>114300</xdr:rowOff>
    </xdr:from>
    <xdr:to>
      <xdr:col>11</xdr:col>
      <xdr:colOff>638169</xdr:colOff>
      <xdr:row>3</xdr:row>
      <xdr:rowOff>82704</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AAC28192-52FA-4E02-9690-26D0704905CE}"/>
            </a:ext>
          </a:extLst>
        </xdr:cNvPr>
        <xdr:cNvGrpSpPr/>
      </xdr:nvGrpSpPr>
      <xdr:grpSpPr>
        <a:xfrm rot="10800000">
          <a:off x="12403897" y="301914"/>
          <a:ext cx="559045" cy="358063"/>
          <a:chOff x="3185180" y="2135611"/>
          <a:chExt cx="648224" cy="602421"/>
        </a:xfrm>
      </xdr:grpSpPr>
      <xdr:sp macro="" textlink="">
        <xdr:nvSpPr>
          <xdr:cNvPr id="12" name="Rectangle 11">
            <a:extLst>
              <a:ext uri="{FF2B5EF4-FFF2-40B4-BE49-F238E27FC236}">
                <a16:creationId xmlns:a16="http://schemas.microsoft.com/office/drawing/2014/main" id="{5C2300AE-D796-FABB-42ED-03022CAA315C}"/>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C9511834-090D-E1B5-38FF-8197D5B288D4}"/>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E34647A5-DEC7-359B-0A14-64E0CC272FF1}"/>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9</xdr:col>
      <xdr:colOff>1047273</xdr:colOff>
      <xdr:row>1</xdr:row>
      <xdr:rowOff>158906</xdr:rowOff>
    </xdr:from>
    <xdr:to>
      <xdr:col>10</xdr:col>
      <xdr:colOff>167954</xdr:colOff>
      <xdr:row>3</xdr:row>
      <xdr:rowOff>20653</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C53CA0E2-A163-4900-AC22-74DBEAF7B13C}"/>
            </a:ext>
          </a:extLst>
        </xdr:cNvPr>
        <xdr:cNvGrpSpPr/>
      </xdr:nvGrpSpPr>
      <xdr:grpSpPr>
        <a:xfrm>
          <a:off x="11005228" y="346520"/>
          <a:ext cx="304090" cy="251406"/>
          <a:chOff x="5270413" y="829190"/>
          <a:chExt cx="251434" cy="252272"/>
        </a:xfrm>
      </xdr:grpSpPr>
      <xdr:sp macro="" textlink="">
        <xdr:nvSpPr>
          <xdr:cNvPr id="16" name="Rectangle 15">
            <a:extLst>
              <a:ext uri="{FF2B5EF4-FFF2-40B4-BE49-F238E27FC236}">
                <a16:creationId xmlns:a16="http://schemas.microsoft.com/office/drawing/2014/main" id="{943C4F19-4A56-9887-F4CD-288333E02EF0}"/>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F8219371-D350-9F2E-AE41-C698920211FE}"/>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9A3E84D3-C0C3-ADF7-05BC-97E766A72DF5}"/>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54988B0F-96AA-D5D0-95BC-39A02E3ADFE2}"/>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EAA1ABB9-5099-229B-C1F2-94138B2777B7}"/>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4A38BDE5-2E92-FA3D-05B3-3CCD0D59E5B0}"/>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0EAF5C59-57A5-57DE-3FF1-75693FEDE3C3}"/>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B5394372-A8AD-631D-A0FD-325F5FF17683}"/>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8A31C2E4-15F4-B2AD-35DC-D08E1C7F1FA3}"/>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495300</xdr:colOff>
      <xdr:row>3</xdr:row>
      <xdr:rowOff>152400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BB92C088-D57B-4419-932B-AE17ACCC150A}"/>
            </a:ext>
          </a:extLst>
        </xdr:cNvPr>
        <xdr:cNvSpPr/>
      </xdr:nvSpPr>
      <xdr:spPr>
        <a:xfrm>
          <a:off x="161925" y="1905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7.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C35AA31B-29EC-4AD2-BBBB-89D438F515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228600"/>
          <a:ext cx="361950" cy="361950"/>
        </a:xfrm>
        <a:prstGeom prst="rect">
          <a:avLst/>
        </a:prstGeom>
      </xdr:spPr>
    </xdr:pic>
    <xdr:clientData/>
  </xdr:oneCellAnchor>
  <xdr:twoCellAnchor>
    <xdr:from>
      <xdr:col>6</xdr:col>
      <xdr:colOff>0</xdr:colOff>
      <xdr:row>12</xdr:row>
      <xdr:rowOff>149412</xdr:rowOff>
    </xdr:from>
    <xdr:to>
      <xdr:col>11</xdr:col>
      <xdr:colOff>0</xdr:colOff>
      <xdr:row>32</xdr:row>
      <xdr:rowOff>0</xdr:rowOff>
    </xdr:to>
    <xdr:sp macro="" textlink="">
      <xdr:nvSpPr>
        <xdr:cNvPr id="3" name="TextBox 2">
          <a:extLst>
            <a:ext uri="{FF2B5EF4-FFF2-40B4-BE49-F238E27FC236}">
              <a16:creationId xmlns:a16="http://schemas.microsoft.com/office/drawing/2014/main" id="{D016317F-2EB9-4FD9-B4B9-7FC0265999B3}"/>
            </a:ext>
          </a:extLst>
        </xdr:cNvPr>
        <xdr:cNvSpPr txBox="1"/>
      </xdr:nvSpPr>
      <xdr:spPr>
        <a:xfrm>
          <a:off x="6124575" y="2559237"/>
          <a:ext cx="5667375" cy="40606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baseline="0">
            <a:latin typeface="Segoe UI" panose="020B0502040204020203" pitchFamily="34" charset="0"/>
            <a:cs typeface="Segoe UI" panose="020B0502040204020203" pitchFamily="34" charset="0"/>
          </a:endParaRPr>
        </a:p>
        <a:p>
          <a:r>
            <a:rPr lang="en-US" sz="1100" b="1" baseline="0">
              <a:latin typeface="Segoe UI" panose="020B0502040204020203" pitchFamily="34" charset="0"/>
              <a:cs typeface="Segoe UI" panose="020B0502040204020203" pitchFamily="34" charset="0"/>
            </a:rPr>
            <a:t>Scenario 1: Base case</a:t>
          </a:r>
        </a:p>
        <a:p>
          <a:endParaRPr lang="en-US" sz="1100" baseline="0">
            <a:latin typeface="Segoe UI" panose="020B0502040204020203" pitchFamily="34" charset="0"/>
            <a:cs typeface="Segoe UI" panose="020B0502040204020203" pitchFamily="34" charset="0"/>
          </a:endParaRPr>
        </a:p>
        <a:p>
          <a:r>
            <a:rPr lang="en-US" sz="1050" baseline="0">
              <a:latin typeface="Segoe UI" panose="020B0502040204020203" pitchFamily="34" charset="0"/>
              <a:cs typeface="Segoe UI" panose="020B0502040204020203" pitchFamily="34" charset="0"/>
            </a:rPr>
            <a:t>Price is Ghs </a:t>
          </a:r>
          <a:r>
            <a:rPr lang="en-US" sz="1050" b="1" baseline="0">
              <a:solidFill>
                <a:srgbClr val="0000FF"/>
              </a:solidFill>
              <a:latin typeface="Segoe UI" panose="020B0502040204020203" pitchFamily="34" charset="0"/>
              <a:cs typeface="Segoe UI" panose="020B0502040204020203" pitchFamily="34" charset="0"/>
            </a:rPr>
            <a:t>4</a:t>
          </a:r>
        </a:p>
        <a:p>
          <a:r>
            <a:rPr lang="en-US" sz="1050" baseline="0">
              <a:latin typeface="Segoe UI" panose="020B0502040204020203" pitchFamily="34" charset="0"/>
              <a:cs typeface="Segoe UI" panose="020B0502040204020203" pitchFamily="34" charset="0"/>
            </a:rPr>
            <a:t>Demand is </a:t>
          </a:r>
          <a:r>
            <a:rPr lang="en-US" sz="1050" b="1" baseline="0">
              <a:solidFill>
                <a:srgbClr val="0000FF"/>
              </a:solidFill>
              <a:latin typeface="Segoe UI" panose="020B0502040204020203" pitchFamily="34" charset="0"/>
              <a:cs typeface="Segoe UI" panose="020B0502040204020203" pitchFamily="34" charset="0"/>
            </a:rPr>
            <a:t>29,000</a:t>
          </a:r>
        </a:p>
        <a:p>
          <a:r>
            <a:rPr lang="en-US" sz="1050" baseline="0">
              <a:latin typeface="Segoe UI" panose="020B0502040204020203" pitchFamily="34" charset="0"/>
              <a:cs typeface="Segoe UI" panose="020B0502040204020203" pitchFamily="34" charset="0"/>
            </a:rPr>
            <a:t>Variable Cost per unit is Ghs </a:t>
          </a:r>
          <a:r>
            <a:rPr lang="en-US" sz="1050" b="1" baseline="0">
              <a:solidFill>
                <a:srgbClr val="0000FF"/>
              </a:solidFill>
              <a:latin typeface="Segoe UI" panose="020B0502040204020203" pitchFamily="34" charset="0"/>
              <a:cs typeface="Segoe UI" panose="020B0502040204020203" pitchFamily="34" charset="0"/>
            </a:rPr>
            <a:t>0.45</a:t>
          </a:r>
        </a:p>
        <a:p>
          <a:r>
            <a:rPr lang="en-US" sz="1050" baseline="0">
              <a:latin typeface="Segoe UI" panose="020B0502040204020203" pitchFamily="34" charset="0"/>
              <a:cs typeface="Segoe UI" panose="020B0502040204020203" pitchFamily="34" charset="0"/>
            </a:rPr>
            <a:t>Fixed Cost is Ghs </a:t>
          </a:r>
          <a:r>
            <a:rPr lang="en-US" sz="1050" b="1" baseline="0">
              <a:solidFill>
                <a:srgbClr val="0000FF"/>
              </a:solidFill>
              <a:latin typeface="Segoe UI" panose="020B0502040204020203" pitchFamily="34" charset="0"/>
              <a:cs typeface="Segoe UI" panose="020B0502040204020203" pitchFamily="34" charset="0"/>
            </a:rPr>
            <a:t>45,000</a:t>
          </a:r>
        </a:p>
        <a:p>
          <a:endParaRPr lang="en-US" sz="1100" baseline="0">
            <a:latin typeface="Segoe UI" panose="020B0502040204020203" pitchFamily="34" charset="0"/>
            <a:cs typeface="Segoe UI" panose="020B0502040204020203" pitchFamily="34" charset="0"/>
          </a:endParaRPr>
        </a:p>
        <a:p>
          <a:r>
            <a:rPr lang="en-US" sz="1100" b="1" baseline="0">
              <a:latin typeface="Segoe UI" panose="020B0502040204020203" pitchFamily="34" charset="0"/>
              <a:cs typeface="Segoe UI" panose="020B0502040204020203" pitchFamily="34" charset="0"/>
            </a:rPr>
            <a:t>Scenario 2: Best case</a:t>
          </a:r>
        </a:p>
        <a:p>
          <a:endParaRPr lang="en-US" sz="1100" baseline="0">
            <a:solidFill>
              <a:schemeClr val="dk1"/>
            </a:solidFill>
            <a:effectLst/>
            <a:latin typeface="Segoe UI" panose="020B0502040204020203" pitchFamily="34" charset="0"/>
            <a:ea typeface="+mn-ea"/>
            <a:cs typeface="Segoe UI" panose="020B0502040204020203" pitchFamily="34" charset="0"/>
          </a:endParaRPr>
        </a:p>
        <a:p>
          <a:r>
            <a:rPr lang="en-US" sz="1050" baseline="0">
              <a:solidFill>
                <a:schemeClr val="dk1"/>
              </a:solidFill>
              <a:effectLst/>
              <a:latin typeface="Segoe UI" panose="020B0502040204020203" pitchFamily="34" charset="0"/>
              <a:ea typeface="+mn-ea"/>
              <a:cs typeface="Segoe UI" panose="020B0502040204020203" pitchFamily="34" charset="0"/>
            </a:rPr>
            <a:t>Price is Ghs </a:t>
          </a:r>
          <a:r>
            <a:rPr lang="en-US" sz="1050" b="1" baseline="0">
              <a:solidFill>
                <a:srgbClr val="00B050"/>
              </a:solidFill>
              <a:effectLst/>
              <a:latin typeface="Segoe UI" panose="020B0502040204020203" pitchFamily="34" charset="0"/>
              <a:ea typeface="+mn-ea"/>
              <a:cs typeface="Segoe UI" panose="020B0502040204020203" pitchFamily="34" charset="0"/>
            </a:rPr>
            <a:t>5</a:t>
          </a:r>
          <a:endParaRPr lang="en-GH" sz="1050" b="1">
            <a:solidFill>
              <a:srgbClr val="00B050"/>
            </a:solidFill>
            <a:effectLst/>
            <a:latin typeface="Segoe UI" panose="020B0502040204020203" pitchFamily="34" charset="0"/>
            <a:cs typeface="Segoe UI" panose="020B0502040204020203" pitchFamily="34" charset="0"/>
          </a:endParaRPr>
        </a:p>
        <a:p>
          <a:r>
            <a:rPr lang="en-US" sz="1050" baseline="0">
              <a:solidFill>
                <a:schemeClr val="dk1"/>
              </a:solidFill>
              <a:effectLst/>
              <a:latin typeface="Segoe UI" panose="020B0502040204020203" pitchFamily="34" charset="0"/>
              <a:ea typeface="+mn-ea"/>
              <a:cs typeface="Segoe UI" panose="020B0502040204020203" pitchFamily="34" charset="0"/>
            </a:rPr>
            <a:t>Demand is </a:t>
          </a:r>
          <a:r>
            <a:rPr lang="en-US" sz="1050" b="1" baseline="0">
              <a:solidFill>
                <a:srgbClr val="00B050"/>
              </a:solidFill>
              <a:effectLst/>
              <a:latin typeface="Segoe UI" panose="020B0502040204020203" pitchFamily="34" charset="0"/>
              <a:ea typeface="+mn-ea"/>
              <a:cs typeface="Segoe UI" panose="020B0502040204020203" pitchFamily="34" charset="0"/>
            </a:rPr>
            <a:t>29,800</a:t>
          </a:r>
          <a:endParaRPr lang="en-GH" sz="1050">
            <a:solidFill>
              <a:srgbClr val="00B050"/>
            </a:solidFill>
            <a:effectLst/>
            <a:latin typeface="Segoe UI" panose="020B0502040204020203" pitchFamily="34" charset="0"/>
            <a:cs typeface="Segoe UI" panose="020B0502040204020203" pitchFamily="34" charset="0"/>
          </a:endParaRPr>
        </a:p>
        <a:p>
          <a:r>
            <a:rPr lang="en-US" sz="1050" baseline="0">
              <a:solidFill>
                <a:schemeClr val="dk1"/>
              </a:solidFill>
              <a:effectLst/>
              <a:latin typeface="Segoe UI" panose="020B0502040204020203" pitchFamily="34" charset="0"/>
              <a:ea typeface="+mn-ea"/>
              <a:cs typeface="Segoe UI" panose="020B0502040204020203" pitchFamily="34" charset="0"/>
            </a:rPr>
            <a:t>Variable Cost per unit is Ghs </a:t>
          </a:r>
          <a:r>
            <a:rPr lang="en-US" sz="1050" b="1" baseline="0">
              <a:solidFill>
                <a:srgbClr val="00B050"/>
              </a:solidFill>
              <a:effectLst/>
              <a:latin typeface="Segoe UI" panose="020B0502040204020203" pitchFamily="34" charset="0"/>
              <a:ea typeface="+mn-ea"/>
              <a:cs typeface="Segoe UI" panose="020B0502040204020203" pitchFamily="34" charset="0"/>
            </a:rPr>
            <a:t>0.30</a:t>
          </a:r>
          <a:endParaRPr lang="en-GH" sz="1050" b="1">
            <a:solidFill>
              <a:srgbClr val="00B050"/>
            </a:solidFill>
            <a:effectLst/>
            <a:latin typeface="Segoe UI" panose="020B0502040204020203" pitchFamily="34" charset="0"/>
            <a:cs typeface="Segoe UI" panose="020B0502040204020203" pitchFamily="34" charset="0"/>
          </a:endParaRPr>
        </a:p>
        <a:p>
          <a:r>
            <a:rPr lang="en-US" sz="1050" baseline="0">
              <a:solidFill>
                <a:schemeClr val="dk1"/>
              </a:solidFill>
              <a:effectLst/>
              <a:latin typeface="Segoe UI" panose="020B0502040204020203" pitchFamily="34" charset="0"/>
              <a:ea typeface="+mn-ea"/>
              <a:cs typeface="Segoe UI" panose="020B0502040204020203" pitchFamily="34" charset="0"/>
            </a:rPr>
            <a:t>Fixed Cost is Ghs </a:t>
          </a:r>
          <a:r>
            <a:rPr lang="en-US" sz="1050" b="1" baseline="0">
              <a:solidFill>
                <a:srgbClr val="00B050"/>
              </a:solidFill>
              <a:effectLst/>
              <a:latin typeface="Segoe UI" panose="020B0502040204020203" pitchFamily="34" charset="0"/>
              <a:ea typeface="+mn-ea"/>
              <a:cs typeface="Segoe UI" panose="020B0502040204020203" pitchFamily="34" charset="0"/>
            </a:rPr>
            <a:t>40,000</a:t>
          </a:r>
          <a:endParaRPr lang="en-US" sz="1050" b="1" baseline="0">
            <a:solidFill>
              <a:srgbClr val="00B050"/>
            </a:solidFill>
            <a:latin typeface="Segoe UI" panose="020B0502040204020203" pitchFamily="34" charset="0"/>
            <a:cs typeface="Segoe UI" panose="020B0502040204020203" pitchFamily="34" charset="0"/>
          </a:endParaRPr>
        </a:p>
        <a:p>
          <a:endParaRPr lang="en-US" sz="1100" baseline="0">
            <a:latin typeface="Segoe UI" panose="020B0502040204020203" pitchFamily="34" charset="0"/>
            <a:cs typeface="Segoe UI" panose="020B0502040204020203" pitchFamily="34" charset="0"/>
          </a:endParaRPr>
        </a:p>
        <a:p>
          <a:r>
            <a:rPr lang="en-US" sz="1100" b="1" baseline="0">
              <a:latin typeface="Segoe UI" panose="020B0502040204020203" pitchFamily="34" charset="0"/>
              <a:cs typeface="Segoe UI" panose="020B0502040204020203" pitchFamily="34" charset="0"/>
            </a:rPr>
            <a:t>Scenario 3: Worst case</a:t>
          </a:r>
        </a:p>
        <a:p>
          <a:endParaRPr lang="en-US" sz="1100" baseline="0">
            <a:latin typeface="Segoe UI" panose="020B0502040204020203" pitchFamily="34" charset="0"/>
            <a:cs typeface="Segoe UI" panose="020B0502040204020203" pitchFamily="34" charset="0"/>
          </a:endParaRPr>
        </a:p>
        <a:p>
          <a:r>
            <a:rPr lang="en-US" sz="1050" baseline="0">
              <a:solidFill>
                <a:schemeClr val="dk1"/>
              </a:solidFill>
              <a:effectLst/>
              <a:latin typeface="Segoe UI" panose="020B0502040204020203" pitchFamily="34" charset="0"/>
              <a:ea typeface="+mn-ea"/>
              <a:cs typeface="Segoe UI" panose="020B0502040204020203" pitchFamily="34" charset="0"/>
            </a:rPr>
            <a:t>Price is Ghs </a:t>
          </a:r>
          <a:r>
            <a:rPr lang="en-US" sz="1050" b="1" baseline="0">
              <a:solidFill>
                <a:srgbClr val="E63200"/>
              </a:solidFill>
              <a:effectLst/>
              <a:latin typeface="Segoe UI" panose="020B0502040204020203" pitchFamily="34" charset="0"/>
              <a:ea typeface="+mn-ea"/>
              <a:cs typeface="Segoe UI" panose="020B0502040204020203" pitchFamily="34" charset="0"/>
            </a:rPr>
            <a:t>3</a:t>
          </a:r>
          <a:endParaRPr lang="en-GH" sz="1050" b="1">
            <a:solidFill>
              <a:srgbClr val="E63200"/>
            </a:solidFill>
            <a:effectLst/>
            <a:latin typeface="Segoe UI" panose="020B0502040204020203" pitchFamily="34" charset="0"/>
            <a:cs typeface="Segoe UI" panose="020B0502040204020203" pitchFamily="34" charset="0"/>
          </a:endParaRPr>
        </a:p>
        <a:p>
          <a:r>
            <a:rPr lang="en-US" sz="1050" baseline="0">
              <a:solidFill>
                <a:schemeClr val="dk1"/>
              </a:solidFill>
              <a:effectLst/>
              <a:latin typeface="Segoe UI" panose="020B0502040204020203" pitchFamily="34" charset="0"/>
              <a:ea typeface="+mn-ea"/>
              <a:cs typeface="Segoe UI" panose="020B0502040204020203" pitchFamily="34" charset="0"/>
            </a:rPr>
            <a:t>Demand is </a:t>
          </a:r>
          <a:r>
            <a:rPr lang="en-US" sz="1050" b="1" baseline="0">
              <a:solidFill>
                <a:srgbClr val="E63200"/>
              </a:solidFill>
              <a:effectLst/>
              <a:latin typeface="Segoe UI" panose="020B0502040204020203" pitchFamily="34" charset="0"/>
              <a:ea typeface="+mn-ea"/>
              <a:cs typeface="Segoe UI" panose="020B0502040204020203" pitchFamily="34" charset="0"/>
            </a:rPr>
            <a:t>28,000</a:t>
          </a:r>
          <a:endParaRPr lang="en-GH" sz="1050" b="1">
            <a:solidFill>
              <a:srgbClr val="E63200"/>
            </a:solidFill>
            <a:effectLst/>
            <a:latin typeface="Segoe UI" panose="020B0502040204020203" pitchFamily="34" charset="0"/>
            <a:cs typeface="Segoe UI" panose="020B0502040204020203" pitchFamily="34" charset="0"/>
          </a:endParaRPr>
        </a:p>
        <a:p>
          <a:r>
            <a:rPr lang="en-US" sz="1050" baseline="0">
              <a:solidFill>
                <a:schemeClr val="dk1"/>
              </a:solidFill>
              <a:effectLst/>
              <a:latin typeface="Segoe UI" panose="020B0502040204020203" pitchFamily="34" charset="0"/>
              <a:ea typeface="+mn-ea"/>
              <a:cs typeface="Segoe UI" panose="020B0502040204020203" pitchFamily="34" charset="0"/>
            </a:rPr>
            <a:t>Variable Cost per unit is Ghs </a:t>
          </a:r>
          <a:r>
            <a:rPr lang="en-US" sz="1050" b="1" baseline="0">
              <a:solidFill>
                <a:srgbClr val="E63200"/>
              </a:solidFill>
              <a:effectLst/>
              <a:latin typeface="Segoe UI" panose="020B0502040204020203" pitchFamily="34" charset="0"/>
              <a:ea typeface="+mn-ea"/>
              <a:cs typeface="Segoe UI" panose="020B0502040204020203" pitchFamily="34" charset="0"/>
            </a:rPr>
            <a:t>0.55</a:t>
          </a:r>
          <a:endParaRPr lang="en-GH" sz="1050" b="1">
            <a:solidFill>
              <a:srgbClr val="E63200"/>
            </a:solidFill>
            <a:effectLst/>
            <a:latin typeface="Segoe UI" panose="020B0502040204020203" pitchFamily="34" charset="0"/>
            <a:cs typeface="Segoe UI" panose="020B0502040204020203" pitchFamily="34" charset="0"/>
          </a:endParaRPr>
        </a:p>
        <a:p>
          <a:r>
            <a:rPr lang="en-US" sz="1050" baseline="0">
              <a:solidFill>
                <a:schemeClr val="dk1"/>
              </a:solidFill>
              <a:effectLst/>
              <a:latin typeface="Segoe UI" panose="020B0502040204020203" pitchFamily="34" charset="0"/>
              <a:ea typeface="+mn-ea"/>
              <a:cs typeface="Segoe UI" panose="020B0502040204020203" pitchFamily="34" charset="0"/>
            </a:rPr>
            <a:t>Fixed Cost is Ghs </a:t>
          </a:r>
          <a:r>
            <a:rPr lang="en-US" sz="1050" b="1" baseline="0">
              <a:solidFill>
                <a:srgbClr val="E63200"/>
              </a:solidFill>
              <a:effectLst/>
              <a:latin typeface="Segoe UI" panose="020B0502040204020203" pitchFamily="34" charset="0"/>
              <a:ea typeface="+mn-ea"/>
              <a:cs typeface="Segoe UI" panose="020B0502040204020203" pitchFamily="34" charset="0"/>
            </a:rPr>
            <a:t>45,000</a:t>
          </a:r>
          <a:endParaRPr lang="en-GH" sz="1050" b="1">
            <a:solidFill>
              <a:srgbClr val="E63200"/>
            </a:solidFill>
            <a:latin typeface="Segoe UI" panose="020B0502040204020203" pitchFamily="34" charset="0"/>
            <a:cs typeface="Segoe UI" panose="020B0502040204020203" pitchFamily="34" charset="0"/>
          </a:endParaRPr>
        </a:p>
      </xdr:txBody>
    </xdr:sp>
    <xdr:clientData/>
  </xdr:twoCellAnchor>
  <xdr:twoCellAnchor editAs="absolute">
    <xdr:from>
      <xdr:col>8</xdr:col>
      <xdr:colOff>990600</xdr:colOff>
      <xdr:row>1</xdr:row>
      <xdr:rowOff>161927</xdr:rowOff>
    </xdr:from>
    <xdr:to>
      <xdr:col>9</xdr:col>
      <xdr:colOff>809619</xdr:colOff>
      <xdr:row>3</xdr:row>
      <xdr:rowOff>47852</xdr:rowOff>
    </xdr:to>
    <xdr:grpSp>
      <xdr:nvGrpSpPr>
        <xdr:cNvPr id="4" name="Group 3">
          <a:hlinkClick xmlns:r="http://schemas.openxmlformats.org/officeDocument/2006/relationships" r:id="rId2" tooltip="Go to Cover page"/>
          <a:extLst>
            <a:ext uri="{FF2B5EF4-FFF2-40B4-BE49-F238E27FC236}">
              <a16:creationId xmlns:a16="http://schemas.microsoft.com/office/drawing/2014/main" id="{3B5CBB3D-4374-4E69-8DA3-D833681A9CA4}"/>
            </a:ext>
          </a:extLst>
        </xdr:cNvPr>
        <xdr:cNvGrpSpPr/>
      </xdr:nvGrpSpPr>
      <xdr:grpSpPr>
        <a:xfrm>
          <a:off x="9756090" y="348692"/>
          <a:ext cx="1001862" cy="271905"/>
          <a:chOff x="3615235" y="2135609"/>
          <a:chExt cx="1011478" cy="463990"/>
        </a:xfrm>
      </xdr:grpSpPr>
      <xdr:sp macro="" textlink="">
        <xdr:nvSpPr>
          <xdr:cNvPr id="5" name="Rectangle 4">
            <a:extLst>
              <a:ext uri="{FF2B5EF4-FFF2-40B4-BE49-F238E27FC236}">
                <a16:creationId xmlns:a16="http://schemas.microsoft.com/office/drawing/2014/main" id="{674198C9-800C-420F-2830-808231632E8D}"/>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6" name="Graphic 3" descr="Back with solid fill">
            <a:extLst>
              <a:ext uri="{FF2B5EF4-FFF2-40B4-BE49-F238E27FC236}">
                <a16:creationId xmlns:a16="http://schemas.microsoft.com/office/drawing/2014/main" id="{1FD24B6F-2DF2-4D92-A80C-4B01A830EF95}"/>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7" name="TextBox 6">
            <a:extLst>
              <a:ext uri="{FF2B5EF4-FFF2-40B4-BE49-F238E27FC236}">
                <a16:creationId xmlns:a16="http://schemas.microsoft.com/office/drawing/2014/main" id="{2AABDE12-6049-1A6F-DE88-A2174F150AC8}"/>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10</xdr:col>
      <xdr:colOff>386558</xdr:colOff>
      <xdr:row>1</xdr:row>
      <xdr:rowOff>114302</xdr:rowOff>
    </xdr:from>
    <xdr:to>
      <xdr:col>10</xdr:col>
      <xdr:colOff>974944</xdr:colOff>
      <xdr:row>3</xdr:row>
      <xdr:rowOff>82706</xdr:rowOff>
    </xdr:to>
    <xdr:grpSp>
      <xdr:nvGrpSpPr>
        <xdr:cNvPr id="8" name="Group 7">
          <a:hlinkClick xmlns:r="http://schemas.openxmlformats.org/officeDocument/2006/relationships" r:id="rId3" tooltip="Go to Previous page"/>
          <a:extLst>
            <a:ext uri="{FF2B5EF4-FFF2-40B4-BE49-F238E27FC236}">
              <a16:creationId xmlns:a16="http://schemas.microsoft.com/office/drawing/2014/main" id="{4AD2E99C-A7D4-4976-AEA6-CDEBFA1132AA}"/>
            </a:ext>
          </a:extLst>
        </xdr:cNvPr>
        <xdr:cNvGrpSpPr/>
      </xdr:nvGrpSpPr>
      <xdr:grpSpPr>
        <a:xfrm>
          <a:off x="11517734" y="301067"/>
          <a:ext cx="588386" cy="354384"/>
          <a:chOff x="3207261" y="2135607"/>
          <a:chExt cx="689910" cy="602421"/>
        </a:xfrm>
      </xdr:grpSpPr>
      <xdr:sp macro="" textlink="">
        <xdr:nvSpPr>
          <xdr:cNvPr id="9" name="Rectangle 8">
            <a:extLst>
              <a:ext uri="{FF2B5EF4-FFF2-40B4-BE49-F238E27FC236}">
                <a16:creationId xmlns:a16="http://schemas.microsoft.com/office/drawing/2014/main" id="{B851C32C-6FE0-BCF9-6461-51974E4C4CA2}"/>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0" name="Graphic 3" descr="Back with solid fill">
            <a:extLst>
              <a:ext uri="{FF2B5EF4-FFF2-40B4-BE49-F238E27FC236}">
                <a16:creationId xmlns:a16="http://schemas.microsoft.com/office/drawing/2014/main" id="{6D76D4B1-1EC1-7834-AEB2-355B5DA61AF3}"/>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1" name="TextBox 10">
            <a:extLst>
              <a:ext uri="{FF2B5EF4-FFF2-40B4-BE49-F238E27FC236}">
                <a16:creationId xmlns:a16="http://schemas.microsoft.com/office/drawing/2014/main" id="{BFB4E980-08A6-455D-BC66-B8B5517611EF}"/>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11</xdr:col>
      <xdr:colOff>69599</xdr:colOff>
      <xdr:row>1</xdr:row>
      <xdr:rowOff>114300</xdr:rowOff>
    </xdr:from>
    <xdr:to>
      <xdr:col>11</xdr:col>
      <xdr:colOff>628644</xdr:colOff>
      <xdr:row>3</xdr:row>
      <xdr:rowOff>82704</xdr:rowOff>
    </xdr:to>
    <xdr:grpSp>
      <xdr:nvGrpSpPr>
        <xdr:cNvPr id="12" name="Group 11">
          <a:hlinkClick xmlns:r="http://schemas.openxmlformats.org/officeDocument/2006/relationships" r:id="rId4" tooltip="Go to Next page"/>
          <a:extLst>
            <a:ext uri="{FF2B5EF4-FFF2-40B4-BE49-F238E27FC236}">
              <a16:creationId xmlns:a16="http://schemas.microsoft.com/office/drawing/2014/main" id="{A80950E6-99AD-454C-B6B8-40B9B695DF68}"/>
            </a:ext>
          </a:extLst>
        </xdr:cNvPr>
        <xdr:cNvGrpSpPr/>
      </xdr:nvGrpSpPr>
      <xdr:grpSpPr>
        <a:xfrm rot="10800000">
          <a:off x="12383619" y="301065"/>
          <a:ext cx="559045" cy="354384"/>
          <a:chOff x="3185180" y="2135611"/>
          <a:chExt cx="648224" cy="602421"/>
        </a:xfrm>
      </xdr:grpSpPr>
      <xdr:sp macro="" textlink="">
        <xdr:nvSpPr>
          <xdr:cNvPr id="13" name="Rectangle 12">
            <a:extLst>
              <a:ext uri="{FF2B5EF4-FFF2-40B4-BE49-F238E27FC236}">
                <a16:creationId xmlns:a16="http://schemas.microsoft.com/office/drawing/2014/main" id="{67FCB40B-C0C1-E889-70AF-070A80B92482}"/>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4" name="Graphic 3" descr="Back with solid fill">
            <a:extLst>
              <a:ext uri="{FF2B5EF4-FFF2-40B4-BE49-F238E27FC236}">
                <a16:creationId xmlns:a16="http://schemas.microsoft.com/office/drawing/2014/main" id="{1B28C873-73D6-CB7D-7270-7EA5B3C01287}"/>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5" name="TextBox 14">
            <a:extLst>
              <a:ext uri="{FF2B5EF4-FFF2-40B4-BE49-F238E27FC236}">
                <a16:creationId xmlns:a16="http://schemas.microsoft.com/office/drawing/2014/main" id="{C041B255-CEC0-903F-DA65-7E0CFB15BBEA}"/>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9</xdr:col>
      <xdr:colOff>1037748</xdr:colOff>
      <xdr:row>1</xdr:row>
      <xdr:rowOff>158906</xdr:rowOff>
    </xdr:from>
    <xdr:to>
      <xdr:col>10</xdr:col>
      <xdr:colOff>158429</xdr:colOff>
      <xdr:row>3</xdr:row>
      <xdr:rowOff>20653</xdr:rowOff>
    </xdr:to>
    <xdr:grpSp>
      <xdr:nvGrpSpPr>
        <xdr:cNvPr id="16" name="Group 15">
          <a:hlinkClick xmlns:r="http://schemas.openxmlformats.org/officeDocument/2006/relationships" r:id="rId5" tooltip="Go to Gallery"/>
          <a:extLst>
            <a:ext uri="{FF2B5EF4-FFF2-40B4-BE49-F238E27FC236}">
              <a16:creationId xmlns:a16="http://schemas.microsoft.com/office/drawing/2014/main" id="{BF266640-4F37-47D1-8676-349B8C6C83D5}"/>
            </a:ext>
          </a:extLst>
        </xdr:cNvPr>
        <xdr:cNvGrpSpPr/>
      </xdr:nvGrpSpPr>
      <xdr:grpSpPr>
        <a:xfrm>
          <a:off x="10986081" y="345671"/>
          <a:ext cx="303524" cy="247727"/>
          <a:chOff x="5270413" y="829190"/>
          <a:chExt cx="251434" cy="252272"/>
        </a:xfrm>
      </xdr:grpSpPr>
      <xdr:sp macro="" textlink="">
        <xdr:nvSpPr>
          <xdr:cNvPr id="17" name="Rectangle 16">
            <a:extLst>
              <a:ext uri="{FF2B5EF4-FFF2-40B4-BE49-F238E27FC236}">
                <a16:creationId xmlns:a16="http://schemas.microsoft.com/office/drawing/2014/main" id="{35CCED9A-4AA5-2A7E-AE15-4F563B400208}"/>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27B5184C-CB31-8DC6-663C-9A8DEB8383EF}"/>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2EEADD7B-755A-FD85-73B2-7948FE80D64E}"/>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85B9EFFD-AE6E-0302-EAFC-CEA19189C25D}"/>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B2F4BBC9-D96A-1D19-D7E2-9859AA5CDDBD}"/>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2259C089-859A-ED65-064F-0F4FFC778B5F}"/>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1218555F-1B5C-2575-FA9B-55C3424B0DAA}"/>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CBFA9E9F-AC4D-6425-A04C-A0C1994CB807}"/>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Rectangle 24">
            <a:extLst>
              <a:ext uri="{FF2B5EF4-FFF2-40B4-BE49-F238E27FC236}">
                <a16:creationId xmlns:a16="http://schemas.microsoft.com/office/drawing/2014/main" id="{8E1DE837-29AA-2C75-2692-D0B7E2F86355}"/>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495300</xdr:colOff>
      <xdr:row>3</xdr:row>
      <xdr:rowOff>152400</xdr:rowOff>
    </xdr:to>
    <xdr:sp macro="" textlink="">
      <xdr:nvSpPr>
        <xdr:cNvPr id="26" name="Rectangle 25">
          <a:hlinkClick xmlns:r="http://schemas.openxmlformats.org/officeDocument/2006/relationships" r:id="rId6" tooltip="Visit our website"/>
          <a:extLst>
            <a:ext uri="{FF2B5EF4-FFF2-40B4-BE49-F238E27FC236}">
              <a16:creationId xmlns:a16="http://schemas.microsoft.com/office/drawing/2014/main" id="{131EBE1D-7FA8-47CC-9565-B618C91CBAE7}"/>
            </a:ext>
          </a:extLst>
        </xdr:cNvPr>
        <xdr:cNvSpPr/>
      </xdr:nvSpPr>
      <xdr:spPr>
        <a:xfrm>
          <a:off x="161925" y="1905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444A63A3-E742-4F5E-95EE-0835F5C4B2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228600"/>
          <a:ext cx="361950" cy="361950"/>
        </a:xfrm>
        <a:prstGeom prst="rect">
          <a:avLst/>
        </a:prstGeom>
      </xdr:spPr>
    </xdr:pic>
    <xdr:clientData/>
  </xdr:oneCellAnchor>
  <xdr:twoCellAnchor editAs="absolute">
    <xdr:from>
      <xdr:col>9</xdr:col>
      <xdr:colOff>219075</xdr:colOff>
      <xdr:row>1</xdr:row>
      <xdr:rowOff>161927</xdr:rowOff>
    </xdr:from>
    <xdr:to>
      <xdr:col>10</xdr:col>
      <xdr:colOff>95244</xdr:colOff>
      <xdr:row>3</xdr:row>
      <xdr:rowOff>47852</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4B25C317-6022-4B53-8716-E2201A7567A3}"/>
            </a:ext>
          </a:extLst>
        </xdr:cNvPr>
        <xdr:cNvGrpSpPr/>
      </xdr:nvGrpSpPr>
      <xdr:grpSpPr>
        <a:xfrm>
          <a:off x="9801225" y="346077"/>
          <a:ext cx="1006469" cy="266925"/>
          <a:chOff x="3615235" y="2135609"/>
          <a:chExt cx="1011478" cy="463990"/>
        </a:xfrm>
      </xdr:grpSpPr>
      <xdr:sp macro="" textlink="">
        <xdr:nvSpPr>
          <xdr:cNvPr id="4" name="Rectangle 3">
            <a:extLst>
              <a:ext uri="{FF2B5EF4-FFF2-40B4-BE49-F238E27FC236}">
                <a16:creationId xmlns:a16="http://schemas.microsoft.com/office/drawing/2014/main" id="{73CC2531-1951-7A63-FED0-3A8141366D2D}"/>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E0E9CB2D-BC97-3006-BD39-60CEB847C7CF}"/>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6CA6ABC4-9AC4-00D8-5FEE-BE98FB097B19}"/>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10</xdr:col>
      <xdr:colOff>805658</xdr:colOff>
      <xdr:row>1</xdr:row>
      <xdr:rowOff>114302</xdr:rowOff>
    </xdr:from>
    <xdr:to>
      <xdr:col>11</xdr:col>
      <xdr:colOff>317719</xdr:colOff>
      <xdr:row>3</xdr:row>
      <xdr:rowOff>82706</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5E868D83-F886-422A-8043-E72ADF45D4C0}"/>
            </a:ext>
          </a:extLst>
        </xdr:cNvPr>
        <xdr:cNvGrpSpPr/>
      </xdr:nvGrpSpPr>
      <xdr:grpSpPr>
        <a:xfrm>
          <a:off x="11518108" y="298452"/>
          <a:ext cx="642361" cy="349404"/>
          <a:chOff x="3207261" y="2135607"/>
          <a:chExt cx="689910" cy="602421"/>
        </a:xfrm>
      </xdr:grpSpPr>
      <xdr:sp macro="" textlink="">
        <xdr:nvSpPr>
          <xdr:cNvPr id="8" name="Rectangle 7">
            <a:extLst>
              <a:ext uri="{FF2B5EF4-FFF2-40B4-BE49-F238E27FC236}">
                <a16:creationId xmlns:a16="http://schemas.microsoft.com/office/drawing/2014/main" id="{A5C352EC-5D57-B2E4-1164-171B29BC4F5A}"/>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DDCF3756-9437-0E52-F471-3B185CF0DBA0}"/>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AD0D5C9C-9AA7-3A18-19F1-B59055F1C9C9}"/>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11</xdr:col>
      <xdr:colOff>545849</xdr:colOff>
      <xdr:row>1</xdr:row>
      <xdr:rowOff>114300</xdr:rowOff>
    </xdr:from>
    <xdr:to>
      <xdr:col>12</xdr:col>
      <xdr:colOff>28569</xdr:colOff>
      <xdr:row>3</xdr:row>
      <xdr:rowOff>82704</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CC7BA4F2-91A4-455E-8241-DC8D4822479B}"/>
            </a:ext>
          </a:extLst>
        </xdr:cNvPr>
        <xdr:cNvGrpSpPr/>
      </xdr:nvGrpSpPr>
      <xdr:grpSpPr>
        <a:xfrm rot="10800000">
          <a:off x="12388599" y="298450"/>
          <a:ext cx="613020" cy="349404"/>
          <a:chOff x="3185180" y="2135611"/>
          <a:chExt cx="648224" cy="602421"/>
        </a:xfrm>
      </xdr:grpSpPr>
      <xdr:sp macro="" textlink="">
        <xdr:nvSpPr>
          <xdr:cNvPr id="12" name="Rectangle 11">
            <a:extLst>
              <a:ext uri="{FF2B5EF4-FFF2-40B4-BE49-F238E27FC236}">
                <a16:creationId xmlns:a16="http://schemas.microsoft.com/office/drawing/2014/main" id="{90FE00D3-7710-5688-E645-CCF5F50F8E59}"/>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58F6386A-3E87-FB5C-D70A-92E89994698A}"/>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B985CD9D-78D1-60F3-3903-932DF39E55A9}"/>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10</xdr:col>
      <xdr:colOff>323373</xdr:colOff>
      <xdr:row>1</xdr:row>
      <xdr:rowOff>158906</xdr:rowOff>
    </xdr:from>
    <xdr:to>
      <xdr:col>10</xdr:col>
      <xdr:colOff>577529</xdr:colOff>
      <xdr:row>3</xdr:row>
      <xdr:rowOff>20653</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78B2F564-1EBA-4C7E-9A7C-C6DF737F1AAF}"/>
            </a:ext>
          </a:extLst>
        </xdr:cNvPr>
        <xdr:cNvGrpSpPr/>
      </xdr:nvGrpSpPr>
      <xdr:grpSpPr>
        <a:xfrm>
          <a:off x="11035823" y="343056"/>
          <a:ext cx="254156" cy="242747"/>
          <a:chOff x="5270413" y="829190"/>
          <a:chExt cx="251434" cy="252272"/>
        </a:xfrm>
      </xdr:grpSpPr>
      <xdr:sp macro="" textlink="">
        <xdr:nvSpPr>
          <xdr:cNvPr id="16" name="Rectangle 15">
            <a:extLst>
              <a:ext uri="{FF2B5EF4-FFF2-40B4-BE49-F238E27FC236}">
                <a16:creationId xmlns:a16="http://schemas.microsoft.com/office/drawing/2014/main" id="{769C3E35-28D6-2ABB-93D7-29555A93686D}"/>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47FC3CAE-6616-02EF-15C2-9F18FFC3FC1C}"/>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26767009-35BA-6CB8-1A58-7051814569CE}"/>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3E7904B9-BD2F-8C6F-A3C7-F1B2B8BD76F0}"/>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FA261624-7AD8-F769-AE2E-36FB08664F82}"/>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CFD8F4BB-19E5-60A0-4BCE-C7A92883B5CE}"/>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8E13724F-2B3F-000C-16FF-B35BE2BFBE70}"/>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5AD5CBA3-674C-A12D-4CFF-1658DEC4488C}"/>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B0A7263F-8B35-BF45-1037-1B8CF3BB42DC}"/>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495300</xdr:colOff>
      <xdr:row>3</xdr:row>
      <xdr:rowOff>152400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7FF661FC-9931-402E-B933-1FC45B45B2B4}"/>
            </a:ext>
          </a:extLst>
        </xdr:cNvPr>
        <xdr:cNvSpPr/>
      </xdr:nvSpPr>
      <xdr:spPr>
        <a:xfrm>
          <a:off x="161925" y="1905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74084</xdr:colOff>
      <xdr:row>18</xdr:row>
      <xdr:rowOff>25400</xdr:rowOff>
    </xdr:from>
    <xdr:to>
      <xdr:col>10</xdr:col>
      <xdr:colOff>137583</xdr:colOff>
      <xdr:row>31</xdr:row>
      <xdr:rowOff>84666</xdr:rowOff>
    </xdr:to>
    <xdr:graphicFrame macro="">
      <xdr:nvGraphicFramePr>
        <xdr:cNvPr id="2" name="Chart 1">
          <a:extLst>
            <a:ext uri="{FF2B5EF4-FFF2-40B4-BE49-F238E27FC236}">
              <a16:creationId xmlns:a16="http://schemas.microsoft.com/office/drawing/2014/main" id="{FCC3A331-865A-49E6-9C08-4E7C3A063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31750</xdr:colOff>
      <xdr:row>2</xdr:row>
      <xdr:rowOff>70555</xdr:rowOff>
    </xdr:from>
    <xdr:to>
      <xdr:col>21</xdr:col>
      <xdr:colOff>599722</xdr:colOff>
      <xdr:row>15</xdr:row>
      <xdr:rowOff>158750</xdr:rowOff>
    </xdr:to>
    <xdr:graphicFrame macro="">
      <xdr:nvGraphicFramePr>
        <xdr:cNvPr id="3" name="Chart 2">
          <a:extLst>
            <a:ext uri="{FF2B5EF4-FFF2-40B4-BE49-F238E27FC236}">
              <a16:creationId xmlns:a16="http://schemas.microsoft.com/office/drawing/2014/main" id="{3A60E7EF-986A-4A5E-B471-B9A264AE3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105833</xdr:colOff>
      <xdr:row>18</xdr:row>
      <xdr:rowOff>31750</xdr:rowOff>
    </xdr:from>
    <xdr:to>
      <xdr:col>15</xdr:col>
      <xdr:colOff>560917</xdr:colOff>
      <xdr:row>31</xdr:row>
      <xdr:rowOff>74084</xdr:rowOff>
    </xdr:to>
    <xdr:graphicFrame macro="">
      <xdr:nvGraphicFramePr>
        <xdr:cNvPr id="4" name="Chart 3">
          <a:extLst>
            <a:ext uri="{FF2B5EF4-FFF2-40B4-BE49-F238E27FC236}">
              <a16:creationId xmlns:a16="http://schemas.microsoft.com/office/drawing/2014/main" id="{A2E7D37C-E6E6-4D98-968F-F344FCDF7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48684</xdr:colOff>
      <xdr:row>18</xdr:row>
      <xdr:rowOff>21167</xdr:rowOff>
    </xdr:from>
    <xdr:to>
      <xdr:col>21</xdr:col>
      <xdr:colOff>599722</xdr:colOff>
      <xdr:row>31</xdr:row>
      <xdr:rowOff>63500</xdr:rowOff>
    </xdr:to>
    <xdr:graphicFrame macro="">
      <xdr:nvGraphicFramePr>
        <xdr:cNvPr id="5" name="Chart 4">
          <a:extLst>
            <a:ext uri="{FF2B5EF4-FFF2-40B4-BE49-F238E27FC236}">
              <a16:creationId xmlns:a16="http://schemas.microsoft.com/office/drawing/2014/main" id="{3509765D-D3A2-4419-850B-DCB98D7F3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74083</xdr:colOff>
      <xdr:row>2</xdr:row>
      <xdr:rowOff>74085</xdr:rowOff>
    </xdr:from>
    <xdr:to>
      <xdr:col>15</xdr:col>
      <xdr:colOff>560916</xdr:colOff>
      <xdr:row>15</xdr:row>
      <xdr:rowOff>152401</xdr:rowOff>
    </xdr:to>
    <xdr:graphicFrame macro="">
      <xdr:nvGraphicFramePr>
        <xdr:cNvPr id="6" name="Chart 5">
          <a:extLst>
            <a:ext uri="{FF2B5EF4-FFF2-40B4-BE49-F238E27FC236}">
              <a16:creationId xmlns:a16="http://schemas.microsoft.com/office/drawing/2014/main" id="{A92EB1DE-B2F3-410E-A757-A3467A0AF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21166</xdr:colOff>
      <xdr:row>2</xdr:row>
      <xdr:rowOff>113770</xdr:rowOff>
    </xdr:from>
    <xdr:to>
      <xdr:col>3</xdr:col>
      <xdr:colOff>585611</xdr:colOff>
      <xdr:row>8</xdr:row>
      <xdr:rowOff>49388</xdr:rowOff>
    </xdr:to>
    <mc:AlternateContent xmlns:mc="http://schemas.openxmlformats.org/markup-compatibility/2006" xmlns:a14="http://schemas.microsoft.com/office/drawing/2010/main">
      <mc:Choice Requires="a14">
        <xdr:graphicFrame macro="">
          <xdr:nvGraphicFramePr>
            <xdr:cNvPr id="7" name="Financial Year">
              <a:extLst>
                <a:ext uri="{FF2B5EF4-FFF2-40B4-BE49-F238E27FC236}">
                  <a16:creationId xmlns:a16="http://schemas.microsoft.com/office/drawing/2014/main" id="{0103A5BE-3A91-4260-A1B1-FF53BC2EA65E}"/>
                </a:ext>
              </a:extLst>
            </xdr:cNvPr>
            <xdr:cNvGraphicFramePr/>
          </xdr:nvGraphicFramePr>
          <xdr:xfrm>
            <a:off x="0" y="0"/>
            <a:ext cx="0" cy="0"/>
          </xdr:xfrm>
          <a:graphic>
            <a:graphicData uri="http://schemas.microsoft.com/office/drawing/2010/slicer">
              <sle:slicer xmlns:sle="http://schemas.microsoft.com/office/drawing/2010/slicer" name="Financial Year"/>
            </a:graphicData>
          </a:graphic>
        </xdr:graphicFrame>
      </mc:Choice>
      <mc:Fallback xmlns="">
        <xdr:sp macro="" textlink="">
          <xdr:nvSpPr>
            <xdr:cNvPr id="0" name=""/>
            <xdr:cNvSpPr>
              <a:spLocks noTextEdit="1"/>
            </xdr:cNvSpPr>
          </xdr:nvSpPr>
          <xdr:spPr>
            <a:xfrm>
              <a:off x="164041" y="478895"/>
              <a:ext cx="1786820" cy="1030993"/>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22049</xdr:colOff>
      <xdr:row>8</xdr:row>
      <xdr:rowOff>77610</xdr:rowOff>
    </xdr:from>
    <xdr:to>
      <xdr:col>3</xdr:col>
      <xdr:colOff>578556</xdr:colOff>
      <xdr:row>22</xdr:row>
      <xdr:rowOff>24341</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CF5C6AFF-2604-4971-B498-64867B6A7B7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4924" y="1538110"/>
              <a:ext cx="1778882" cy="2502606"/>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70203</xdr:colOff>
      <xdr:row>17</xdr:row>
      <xdr:rowOff>169334</xdr:rowOff>
    </xdr:from>
    <xdr:to>
      <xdr:col>26</xdr:col>
      <xdr:colOff>67027</xdr:colOff>
      <xdr:row>31</xdr:row>
      <xdr:rowOff>77612</xdr:rowOff>
    </xdr:to>
    <mc:AlternateContent xmlns:mc="http://schemas.openxmlformats.org/markup-compatibility/2006" xmlns:a14="http://schemas.microsoft.com/office/drawing/2010/main">
      <mc:Choice Requires="a14">
        <xdr:graphicFrame macro="">
          <xdr:nvGraphicFramePr>
            <xdr:cNvPr id="9" name="Port Name">
              <a:extLst>
                <a:ext uri="{FF2B5EF4-FFF2-40B4-BE49-F238E27FC236}">
                  <a16:creationId xmlns:a16="http://schemas.microsoft.com/office/drawing/2014/main" id="{51CAF042-7328-4181-8A5C-A9CAB3041A13}"/>
                </a:ext>
              </a:extLst>
            </xdr:cNvPr>
            <xdr:cNvGraphicFramePr/>
          </xdr:nvGraphicFramePr>
          <xdr:xfrm>
            <a:off x="0" y="0"/>
            <a:ext cx="0" cy="0"/>
          </xdr:xfrm>
          <a:graphic>
            <a:graphicData uri="http://schemas.microsoft.com/office/drawing/2010/slicer">
              <sle:slicer xmlns:sle="http://schemas.microsoft.com/office/drawing/2010/slicer" name="Port Name"/>
            </a:graphicData>
          </a:graphic>
        </xdr:graphicFrame>
      </mc:Choice>
      <mc:Fallback xmlns="">
        <xdr:sp macro="" textlink="">
          <xdr:nvSpPr>
            <xdr:cNvPr id="0" name=""/>
            <xdr:cNvSpPr>
              <a:spLocks noTextEdit="1"/>
            </xdr:cNvSpPr>
          </xdr:nvSpPr>
          <xdr:spPr>
            <a:xfrm>
              <a:off x="11785953" y="3272897"/>
              <a:ext cx="1830387" cy="2464153"/>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63501</xdr:colOff>
      <xdr:row>2</xdr:row>
      <xdr:rowOff>82903</xdr:rowOff>
    </xdr:from>
    <xdr:to>
      <xdr:col>26</xdr:col>
      <xdr:colOff>82550</xdr:colOff>
      <xdr:row>17</xdr:row>
      <xdr:rowOff>148166</xdr:rowOff>
    </xdr:to>
    <mc:AlternateContent xmlns:mc="http://schemas.openxmlformats.org/markup-compatibility/2006" xmlns:a14="http://schemas.microsoft.com/office/drawing/2010/main">
      <mc:Choice Requires="a14">
        <xdr:graphicFrame macro="">
          <xdr:nvGraphicFramePr>
            <xdr:cNvPr id="10" name="Account Manager">
              <a:extLst>
                <a:ext uri="{FF2B5EF4-FFF2-40B4-BE49-F238E27FC236}">
                  <a16:creationId xmlns:a16="http://schemas.microsoft.com/office/drawing/2014/main" id="{F12456AB-6AC4-4350-B322-B41C2B02015B}"/>
                </a:ext>
              </a:extLst>
            </xdr:cNvPr>
            <xdr:cNvGraphicFramePr/>
          </xdr:nvGraphicFramePr>
          <xdr:xfrm>
            <a:off x="0" y="0"/>
            <a:ext cx="0" cy="0"/>
          </xdr:xfrm>
          <a:graphic>
            <a:graphicData uri="http://schemas.microsoft.com/office/drawing/2010/slicer">
              <sle:slicer xmlns:sle="http://schemas.microsoft.com/office/drawing/2010/slicer" name="Account Manager"/>
            </a:graphicData>
          </a:graphic>
        </xdr:graphicFrame>
      </mc:Choice>
      <mc:Fallback xmlns="">
        <xdr:sp macro="" textlink="">
          <xdr:nvSpPr>
            <xdr:cNvPr id="0" name=""/>
            <xdr:cNvSpPr>
              <a:spLocks noTextEdit="1"/>
            </xdr:cNvSpPr>
          </xdr:nvSpPr>
          <xdr:spPr>
            <a:xfrm>
              <a:off x="11779251" y="448028"/>
              <a:ext cx="1852612" cy="2803701"/>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144637</xdr:colOff>
      <xdr:row>22</xdr:row>
      <xdr:rowOff>31749</xdr:rowOff>
    </xdr:from>
    <xdr:to>
      <xdr:col>3</xdr:col>
      <xdr:colOff>571500</xdr:colOff>
      <xdr:row>31</xdr:row>
      <xdr:rowOff>98778</xdr:rowOff>
    </xdr:to>
    <mc:AlternateContent xmlns:mc="http://schemas.openxmlformats.org/markup-compatibility/2006" xmlns:a14="http://schemas.microsoft.com/office/drawing/2010/main">
      <mc:Choice Requires="a14">
        <xdr:graphicFrame macro="">
          <xdr:nvGraphicFramePr>
            <xdr:cNvPr id="11" name="Cargo Type">
              <a:extLst>
                <a:ext uri="{FF2B5EF4-FFF2-40B4-BE49-F238E27FC236}">
                  <a16:creationId xmlns:a16="http://schemas.microsoft.com/office/drawing/2014/main" id="{5EF017F0-F8F9-48E0-BF11-5EE576C93003}"/>
                </a:ext>
              </a:extLst>
            </xdr:cNvPr>
            <xdr:cNvGraphicFramePr/>
          </xdr:nvGraphicFramePr>
          <xdr:xfrm>
            <a:off x="0" y="0"/>
            <a:ext cx="0" cy="0"/>
          </xdr:xfrm>
          <a:graphic>
            <a:graphicData uri="http://schemas.microsoft.com/office/drawing/2010/slicer">
              <sle:slicer xmlns:sle="http://schemas.microsoft.com/office/drawing/2010/slicer" name="Cargo Type"/>
            </a:graphicData>
          </a:graphic>
        </xdr:graphicFrame>
      </mc:Choice>
      <mc:Fallback xmlns="">
        <xdr:sp macro="" textlink="">
          <xdr:nvSpPr>
            <xdr:cNvPr id="0" name=""/>
            <xdr:cNvSpPr>
              <a:spLocks noTextEdit="1"/>
            </xdr:cNvSpPr>
          </xdr:nvSpPr>
          <xdr:spPr>
            <a:xfrm>
              <a:off x="144637" y="4048124"/>
              <a:ext cx="1792113" cy="1710092"/>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107950</xdr:colOff>
      <xdr:row>17</xdr:row>
      <xdr:rowOff>0</xdr:rowOff>
    </xdr:from>
    <xdr:to>
      <xdr:col>25</xdr:col>
      <xdr:colOff>228600</xdr:colOff>
      <xdr:row>20</xdr:row>
      <xdr:rowOff>6350</xdr:rowOff>
    </xdr:to>
    <xdr:sp macro="" textlink="">
      <xdr:nvSpPr>
        <xdr:cNvPr id="3" name="Rectangle: Top Corners Rounded 2">
          <a:extLst>
            <a:ext uri="{FF2B5EF4-FFF2-40B4-BE49-F238E27FC236}">
              <a16:creationId xmlns:a16="http://schemas.microsoft.com/office/drawing/2014/main" id="{6BBBDF78-F991-C33F-C00C-EA360CC38D0C}"/>
            </a:ext>
          </a:extLst>
        </xdr:cNvPr>
        <xdr:cNvSpPr/>
      </xdr:nvSpPr>
      <xdr:spPr>
        <a:xfrm rot="5400000">
          <a:off x="8080375" y="-3978275"/>
          <a:ext cx="558800" cy="14776450"/>
        </a:xfrm>
        <a:prstGeom prst="round2SameRect">
          <a:avLst/>
        </a:prstGeom>
        <a:solidFill>
          <a:schemeClr val="accent1">
            <a:lumMod val="50000"/>
          </a:schemeClr>
        </a:solidFill>
        <a:ln>
          <a:no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69A35667-AD3B-4F63-B8A6-C12EE101A3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219075"/>
          <a:ext cx="361950" cy="361950"/>
        </a:xfrm>
        <a:prstGeom prst="rect">
          <a:avLst/>
        </a:prstGeom>
      </xdr:spPr>
    </xdr:pic>
    <xdr:clientData/>
  </xdr:oneCellAnchor>
  <xdr:twoCellAnchor editAs="absolute">
    <xdr:from>
      <xdr:col>9</xdr:col>
      <xdr:colOff>1611312</xdr:colOff>
      <xdr:row>1</xdr:row>
      <xdr:rowOff>142877</xdr:rowOff>
    </xdr:from>
    <xdr:to>
      <xdr:col>10</xdr:col>
      <xdr:colOff>754057</xdr:colOff>
      <xdr:row>3</xdr:row>
      <xdr:rowOff>57377</xdr:rowOff>
    </xdr:to>
    <xdr:grpSp>
      <xdr:nvGrpSpPr>
        <xdr:cNvPr id="3" name="Group 2">
          <a:hlinkClick xmlns:r="http://schemas.openxmlformats.org/officeDocument/2006/relationships" r:id="rId2" tooltip="Go to Cover page"/>
          <a:extLst>
            <a:ext uri="{FF2B5EF4-FFF2-40B4-BE49-F238E27FC236}">
              <a16:creationId xmlns:a16="http://schemas.microsoft.com/office/drawing/2014/main" id="{40E00C3B-35C3-4EBF-BF06-03E5A344C350}"/>
            </a:ext>
          </a:extLst>
        </xdr:cNvPr>
        <xdr:cNvGrpSpPr/>
      </xdr:nvGrpSpPr>
      <xdr:grpSpPr>
        <a:xfrm>
          <a:off x="9763125" y="349252"/>
          <a:ext cx="1039807" cy="327250"/>
          <a:chOff x="3615235" y="2135609"/>
          <a:chExt cx="1011478" cy="463990"/>
        </a:xfrm>
      </xdr:grpSpPr>
      <xdr:sp macro="" textlink="">
        <xdr:nvSpPr>
          <xdr:cNvPr id="4" name="Rectangle 3">
            <a:extLst>
              <a:ext uri="{FF2B5EF4-FFF2-40B4-BE49-F238E27FC236}">
                <a16:creationId xmlns:a16="http://schemas.microsoft.com/office/drawing/2014/main" id="{54894C6D-817D-CDF6-B9E2-26C5272DF6A4}"/>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5" name="Graphic 3" descr="Back with solid fill">
            <a:extLst>
              <a:ext uri="{FF2B5EF4-FFF2-40B4-BE49-F238E27FC236}">
                <a16:creationId xmlns:a16="http://schemas.microsoft.com/office/drawing/2014/main" id="{AC2161F4-F6B1-8109-41D7-8A455AD63462}"/>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6" name="TextBox 5">
            <a:extLst>
              <a:ext uri="{FF2B5EF4-FFF2-40B4-BE49-F238E27FC236}">
                <a16:creationId xmlns:a16="http://schemas.microsoft.com/office/drawing/2014/main" id="{07ECEA5B-F4CB-0E42-5C1B-0895319C3D0E}"/>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11</xdr:col>
      <xdr:colOff>53183</xdr:colOff>
      <xdr:row>1</xdr:row>
      <xdr:rowOff>95252</xdr:rowOff>
    </xdr:from>
    <xdr:to>
      <xdr:col>11</xdr:col>
      <xdr:colOff>641569</xdr:colOff>
      <xdr:row>3</xdr:row>
      <xdr:rowOff>92231</xdr:rowOff>
    </xdr:to>
    <xdr:grpSp>
      <xdr:nvGrpSpPr>
        <xdr:cNvPr id="7" name="Group 6">
          <a:hlinkClick xmlns:r="http://schemas.openxmlformats.org/officeDocument/2006/relationships" r:id="rId3" tooltip="Go to Previous page"/>
          <a:extLst>
            <a:ext uri="{FF2B5EF4-FFF2-40B4-BE49-F238E27FC236}">
              <a16:creationId xmlns:a16="http://schemas.microsoft.com/office/drawing/2014/main" id="{5FD8AF31-DB17-4705-867A-9CF9C0F9EA07}"/>
            </a:ext>
          </a:extLst>
        </xdr:cNvPr>
        <xdr:cNvGrpSpPr/>
      </xdr:nvGrpSpPr>
      <xdr:grpSpPr>
        <a:xfrm>
          <a:off x="11340308" y="301627"/>
          <a:ext cx="588386" cy="409729"/>
          <a:chOff x="3207261" y="2135607"/>
          <a:chExt cx="689910" cy="602421"/>
        </a:xfrm>
      </xdr:grpSpPr>
      <xdr:sp macro="" textlink="">
        <xdr:nvSpPr>
          <xdr:cNvPr id="8" name="Rectangle 7">
            <a:extLst>
              <a:ext uri="{FF2B5EF4-FFF2-40B4-BE49-F238E27FC236}">
                <a16:creationId xmlns:a16="http://schemas.microsoft.com/office/drawing/2014/main" id="{FA7E65B0-5F1E-EDAA-A08A-3EC0B69F874E}"/>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E90EC801-8823-5DCF-FA47-774061C63824}"/>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FA572AB1-1405-8175-5CEA-9AC7F7A23BBB}"/>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11</xdr:col>
      <xdr:colOff>869699</xdr:colOff>
      <xdr:row>1</xdr:row>
      <xdr:rowOff>95250</xdr:rowOff>
    </xdr:from>
    <xdr:to>
      <xdr:col>12</xdr:col>
      <xdr:colOff>485769</xdr:colOff>
      <xdr:row>3</xdr:row>
      <xdr:rowOff>92229</xdr:rowOff>
    </xdr:to>
    <xdr:grpSp>
      <xdr:nvGrpSpPr>
        <xdr:cNvPr id="11" name="Group 10">
          <a:hlinkClick xmlns:r="http://schemas.openxmlformats.org/officeDocument/2006/relationships" r:id="rId4" tooltip="Go to Next page"/>
          <a:extLst>
            <a:ext uri="{FF2B5EF4-FFF2-40B4-BE49-F238E27FC236}">
              <a16:creationId xmlns:a16="http://schemas.microsoft.com/office/drawing/2014/main" id="{72CB8DC9-F9A7-4CFA-8619-35B5E3D0B972}"/>
            </a:ext>
          </a:extLst>
        </xdr:cNvPr>
        <xdr:cNvGrpSpPr/>
      </xdr:nvGrpSpPr>
      <xdr:grpSpPr>
        <a:xfrm rot="10800000">
          <a:off x="12156824" y="301625"/>
          <a:ext cx="608258" cy="409729"/>
          <a:chOff x="3185180" y="2135611"/>
          <a:chExt cx="648224" cy="602421"/>
        </a:xfrm>
      </xdr:grpSpPr>
      <xdr:sp macro="" textlink="">
        <xdr:nvSpPr>
          <xdr:cNvPr id="12" name="Rectangle 11">
            <a:extLst>
              <a:ext uri="{FF2B5EF4-FFF2-40B4-BE49-F238E27FC236}">
                <a16:creationId xmlns:a16="http://schemas.microsoft.com/office/drawing/2014/main" id="{814368C7-0CEC-FDAC-6400-03EB6B2FD365}"/>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AD9545CA-9BB7-5007-719F-516CEBC51112}"/>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B38D4964-291B-691D-BD25-C44EDCE87728}"/>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10</xdr:col>
      <xdr:colOff>751998</xdr:colOff>
      <xdr:row>1</xdr:row>
      <xdr:rowOff>139856</xdr:rowOff>
    </xdr:from>
    <xdr:to>
      <xdr:col>10</xdr:col>
      <xdr:colOff>1006154</xdr:colOff>
      <xdr:row>3</xdr:row>
      <xdr:rowOff>30178</xdr:rowOff>
    </xdr:to>
    <xdr:grpSp>
      <xdr:nvGrpSpPr>
        <xdr:cNvPr id="15" name="Group 14">
          <a:hlinkClick xmlns:r="http://schemas.openxmlformats.org/officeDocument/2006/relationships" r:id="rId5" tooltip="Go to Gallery"/>
          <a:extLst>
            <a:ext uri="{FF2B5EF4-FFF2-40B4-BE49-F238E27FC236}">
              <a16:creationId xmlns:a16="http://schemas.microsoft.com/office/drawing/2014/main" id="{A2E29444-9E24-4EC9-95CB-73DFB8B3F9A2}"/>
            </a:ext>
          </a:extLst>
        </xdr:cNvPr>
        <xdr:cNvGrpSpPr/>
      </xdr:nvGrpSpPr>
      <xdr:grpSpPr>
        <a:xfrm>
          <a:off x="10800873" y="346231"/>
          <a:ext cx="254156" cy="303072"/>
          <a:chOff x="5270413" y="829190"/>
          <a:chExt cx="251434" cy="252272"/>
        </a:xfrm>
      </xdr:grpSpPr>
      <xdr:sp macro="" textlink="">
        <xdr:nvSpPr>
          <xdr:cNvPr id="16" name="Rectangle 15">
            <a:extLst>
              <a:ext uri="{FF2B5EF4-FFF2-40B4-BE49-F238E27FC236}">
                <a16:creationId xmlns:a16="http://schemas.microsoft.com/office/drawing/2014/main" id="{0DF26D02-218E-8DB9-9B66-20CB97B09822}"/>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16">
            <a:extLst>
              <a:ext uri="{FF2B5EF4-FFF2-40B4-BE49-F238E27FC236}">
                <a16:creationId xmlns:a16="http://schemas.microsoft.com/office/drawing/2014/main" id="{F40AE50B-C982-4314-3F1F-80E6CF94FE6B}"/>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17">
            <a:extLst>
              <a:ext uri="{FF2B5EF4-FFF2-40B4-BE49-F238E27FC236}">
                <a16:creationId xmlns:a16="http://schemas.microsoft.com/office/drawing/2014/main" id="{8E22C1F1-BD7D-23E0-6E8D-933C8AA3CF73}"/>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0DC427AC-F121-670E-F654-E198C9923FA0}"/>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3F89B765-F971-7FDF-98B8-CADE4D039A9D}"/>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F45881C6-D003-811A-C8F4-569DE1E0AAA1}"/>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9CF54CDE-42FA-FECC-46F8-E4961502023F}"/>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2B8BD52C-9EA0-AD5A-B0B9-C34B58D17D5E}"/>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3E87F8A3-C017-3DC5-0919-BBCE1C85D04C}"/>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3</xdr:col>
      <xdr:colOff>1619250</xdr:colOff>
      <xdr:row>4</xdr:row>
      <xdr:rowOff>0</xdr:rowOff>
    </xdr:to>
    <xdr:sp macro="" textlink="">
      <xdr:nvSpPr>
        <xdr:cNvPr id="25" name="Rectangle 24">
          <a:hlinkClick xmlns:r="http://schemas.openxmlformats.org/officeDocument/2006/relationships" r:id="rId6" tooltip="Visit our website"/>
          <a:extLst>
            <a:ext uri="{FF2B5EF4-FFF2-40B4-BE49-F238E27FC236}">
              <a16:creationId xmlns:a16="http://schemas.microsoft.com/office/drawing/2014/main" id="{6B758599-A914-4A8E-BE53-910E11430052}"/>
            </a:ext>
          </a:extLst>
        </xdr:cNvPr>
        <xdr:cNvSpPr/>
      </xdr:nvSpPr>
      <xdr:spPr>
        <a:xfrm>
          <a:off x="18097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0</xdr:colOff>
      <xdr:row>8</xdr:row>
      <xdr:rowOff>0</xdr:rowOff>
    </xdr:from>
    <xdr:to>
      <xdr:col>4</xdr:col>
      <xdr:colOff>0</xdr:colOff>
      <xdr:row>15</xdr:row>
      <xdr:rowOff>180974</xdr:rowOff>
    </xdr:to>
    <xdr:sp macro="" textlink="">
      <xdr:nvSpPr>
        <xdr:cNvPr id="2" name="Rectangle: Rounded Corners 1">
          <a:hlinkClick xmlns:r="http://schemas.openxmlformats.org/officeDocument/2006/relationships" r:id="rId1" tooltip="Download Finex Skills Hub Basic training note"/>
          <a:extLst>
            <a:ext uri="{FF2B5EF4-FFF2-40B4-BE49-F238E27FC236}">
              <a16:creationId xmlns:a16="http://schemas.microsoft.com/office/drawing/2014/main" id="{A60977B2-A65E-40FC-A715-8EFEFF37F7DD}"/>
            </a:ext>
          </a:extLst>
        </xdr:cNvPr>
        <xdr:cNvSpPr/>
      </xdr:nvSpPr>
      <xdr:spPr>
        <a:xfrm>
          <a:off x="161925" y="1381125"/>
          <a:ext cx="1809750" cy="1447799"/>
        </a:xfrm>
        <a:prstGeom prst="roundRect">
          <a:avLst>
            <a:gd name="adj" fmla="val 4481"/>
          </a:avLst>
        </a:prstGeom>
        <a:blipFill>
          <a:blip xmlns:r="http://schemas.openxmlformats.org/officeDocument/2006/relationships" r:embed="rId2"/>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0</xdr:colOff>
      <xdr:row>8</xdr:row>
      <xdr:rowOff>0</xdr:rowOff>
    </xdr:from>
    <xdr:to>
      <xdr:col>12</xdr:col>
      <xdr:colOff>0</xdr:colOff>
      <xdr:row>15</xdr:row>
      <xdr:rowOff>180974</xdr:rowOff>
    </xdr:to>
    <xdr:sp macro="" textlink="">
      <xdr:nvSpPr>
        <xdr:cNvPr id="4" name="Rectangle: Rounded Corners 3">
          <a:hlinkClick xmlns:r="http://schemas.openxmlformats.org/officeDocument/2006/relationships" r:id="rId3" tooltip="Go to Notes -Referencing"/>
          <a:extLst>
            <a:ext uri="{FF2B5EF4-FFF2-40B4-BE49-F238E27FC236}">
              <a16:creationId xmlns:a16="http://schemas.microsoft.com/office/drawing/2014/main" id="{EFA48C58-51B1-48BA-9B19-7A6E4E97A992}"/>
            </a:ext>
          </a:extLst>
        </xdr:cNvPr>
        <xdr:cNvSpPr/>
      </xdr:nvSpPr>
      <xdr:spPr>
        <a:xfrm>
          <a:off x="4276725" y="1381125"/>
          <a:ext cx="1809750" cy="1447799"/>
        </a:xfrm>
        <a:prstGeom prst="roundRect">
          <a:avLst>
            <a:gd name="adj" fmla="val 4481"/>
          </a:avLst>
        </a:prstGeom>
        <a:blipFill>
          <a:blip xmlns:r="http://schemas.openxmlformats.org/officeDocument/2006/relationships" r:embed="rId4"/>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0</xdr:colOff>
      <xdr:row>8</xdr:row>
      <xdr:rowOff>0</xdr:rowOff>
    </xdr:from>
    <xdr:to>
      <xdr:col>16</xdr:col>
      <xdr:colOff>0</xdr:colOff>
      <xdr:row>15</xdr:row>
      <xdr:rowOff>180974</xdr:rowOff>
    </xdr:to>
    <xdr:sp macro="" textlink="">
      <xdr:nvSpPr>
        <xdr:cNvPr id="5" name="Rectangle: Rounded Corners 4">
          <a:hlinkClick xmlns:r="http://schemas.openxmlformats.org/officeDocument/2006/relationships" r:id="rId5" tooltip="Go to Notes -Tables"/>
          <a:extLst>
            <a:ext uri="{FF2B5EF4-FFF2-40B4-BE49-F238E27FC236}">
              <a16:creationId xmlns:a16="http://schemas.microsoft.com/office/drawing/2014/main" id="{D859435C-C32A-4334-8F40-3FD632A00DFD}"/>
            </a:ext>
          </a:extLst>
        </xdr:cNvPr>
        <xdr:cNvSpPr/>
      </xdr:nvSpPr>
      <xdr:spPr>
        <a:xfrm>
          <a:off x="6334125" y="1381125"/>
          <a:ext cx="1809750" cy="1447799"/>
        </a:xfrm>
        <a:prstGeom prst="roundRect">
          <a:avLst>
            <a:gd name="adj" fmla="val 4481"/>
          </a:avLst>
        </a:prstGeom>
        <a:blipFill>
          <a:blip xmlns:r="http://schemas.openxmlformats.org/officeDocument/2006/relationships" r:embed="rId6"/>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0</xdr:colOff>
      <xdr:row>8</xdr:row>
      <xdr:rowOff>0</xdr:rowOff>
    </xdr:from>
    <xdr:to>
      <xdr:col>20</xdr:col>
      <xdr:colOff>0</xdr:colOff>
      <xdr:row>15</xdr:row>
      <xdr:rowOff>180974</xdr:rowOff>
    </xdr:to>
    <xdr:sp macro="" textlink="">
      <xdr:nvSpPr>
        <xdr:cNvPr id="6" name="Rectangle: Rounded Corners 5">
          <a:hlinkClick xmlns:r="http://schemas.openxmlformats.org/officeDocument/2006/relationships" r:id="rId7" tooltip="Go to Notes -Aggregating Functions"/>
          <a:extLst>
            <a:ext uri="{FF2B5EF4-FFF2-40B4-BE49-F238E27FC236}">
              <a16:creationId xmlns:a16="http://schemas.microsoft.com/office/drawing/2014/main" id="{0AF9798E-06F0-4225-86B2-C39A1E0B5CF0}"/>
            </a:ext>
          </a:extLst>
        </xdr:cNvPr>
        <xdr:cNvSpPr/>
      </xdr:nvSpPr>
      <xdr:spPr>
        <a:xfrm>
          <a:off x="8391525" y="1381125"/>
          <a:ext cx="1809750" cy="1447799"/>
        </a:xfrm>
        <a:prstGeom prst="roundRect">
          <a:avLst>
            <a:gd name="adj" fmla="val 4481"/>
          </a:avLst>
        </a:prstGeom>
        <a:blipFill>
          <a:blip xmlns:r="http://schemas.openxmlformats.org/officeDocument/2006/relationships" r:embed="rId8"/>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0</xdr:colOff>
      <xdr:row>8</xdr:row>
      <xdr:rowOff>0</xdr:rowOff>
    </xdr:from>
    <xdr:to>
      <xdr:col>24</xdr:col>
      <xdr:colOff>0</xdr:colOff>
      <xdr:row>15</xdr:row>
      <xdr:rowOff>180974</xdr:rowOff>
    </xdr:to>
    <xdr:sp macro="" textlink="">
      <xdr:nvSpPr>
        <xdr:cNvPr id="7" name="Rectangle: Rounded Corners 6">
          <a:hlinkClick xmlns:r="http://schemas.openxmlformats.org/officeDocument/2006/relationships" r:id="rId9" tooltip="Go to Notes -Logic Functions"/>
          <a:extLst>
            <a:ext uri="{FF2B5EF4-FFF2-40B4-BE49-F238E27FC236}">
              <a16:creationId xmlns:a16="http://schemas.microsoft.com/office/drawing/2014/main" id="{C057AC8B-C09E-444B-B646-807143AF624E}"/>
            </a:ext>
          </a:extLst>
        </xdr:cNvPr>
        <xdr:cNvSpPr/>
      </xdr:nvSpPr>
      <xdr:spPr>
        <a:xfrm>
          <a:off x="10448925" y="1381125"/>
          <a:ext cx="1809750" cy="1447799"/>
        </a:xfrm>
        <a:prstGeom prst="roundRect">
          <a:avLst>
            <a:gd name="adj" fmla="val 4481"/>
          </a:avLst>
        </a:prstGeom>
        <a:blipFill>
          <a:blip xmlns:r="http://schemas.openxmlformats.org/officeDocument/2006/relationships" r:embed="rId10"/>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0</xdr:colOff>
      <xdr:row>18</xdr:row>
      <xdr:rowOff>0</xdr:rowOff>
    </xdr:from>
    <xdr:to>
      <xdr:col>4</xdr:col>
      <xdr:colOff>0</xdr:colOff>
      <xdr:row>25</xdr:row>
      <xdr:rowOff>180974</xdr:rowOff>
    </xdr:to>
    <xdr:sp macro="" textlink="">
      <xdr:nvSpPr>
        <xdr:cNvPr id="8" name="Rectangle: Rounded Corners 7">
          <a:hlinkClick xmlns:r="http://schemas.openxmlformats.org/officeDocument/2006/relationships" r:id="rId11" tooltip="Go to Notes -Lookup Functions"/>
          <a:extLst>
            <a:ext uri="{FF2B5EF4-FFF2-40B4-BE49-F238E27FC236}">
              <a16:creationId xmlns:a16="http://schemas.microsoft.com/office/drawing/2014/main" id="{CF9365B1-F375-4E09-A667-0AA6CDEC23F3}"/>
            </a:ext>
          </a:extLst>
        </xdr:cNvPr>
        <xdr:cNvSpPr/>
      </xdr:nvSpPr>
      <xdr:spPr>
        <a:xfrm>
          <a:off x="161925" y="3190875"/>
          <a:ext cx="1809750" cy="1447799"/>
        </a:xfrm>
        <a:prstGeom prst="roundRect">
          <a:avLst>
            <a:gd name="adj" fmla="val 4481"/>
          </a:avLst>
        </a:prstGeom>
        <a:blipFill>
          <a:blip xmlns:r="http://schemas.openxmlformats.org/officeDocument/2006/relationships" r:embed="rId12"/>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0</xdr:colOff>
      <xdr:row>18</xdr:row>
      <xdr:rowOff>0</xdr:rowOff>
    </xdr:from>
    <xdr:to>
      <xdr:col>8</xdr:col>
      <xdr:colOff>0</xdr:colOff>
      <xdr:row>25</xdr:row>
      <xdr:rowOff>180974</xdr:rowOff>
    </xdr:to>
    <xdr:sp macro="" textlink="">
      <xdr:nvSpPr>
        <xdr:cNvPr id="9" name="Rectangle: Rounded Corners 8">
          <a:hlinkClick xmlns:r="http://schemas.openxmlformats.org/officeDocument/2006/relationships" r:id="rId13" tooltip="Go to Notes -Text Functions"/>
          <a:extLst>
            <a:ext uri="{FF2B5EF4-FFF2-40B4-BE49-F238E27FC236}">
              <a16:creationId xmlns:a16="http://schemas.microsoft.com/office/drawing/2014/main" id="{CD311842-5944-4899-8763-778B89D51F5E}"/>
            </a:ext>
          </a:extLst>
        </xdr:cNvPr>
        <xdr:cNvSpPr/>
      </xdr:nvSpPr>
      <xdr:spPr>
        <a:xfrm>
          <a:off x="2219325" y="3190875"/>
          <a:ext cx="1809750" cy="1447799"/>
        </a:xfrm>
        <a:prstGeom prst="roundRect">
          <a:avLst>
            <a:gd name="adj" fmla="val 4481"/>
          </a:avLst>
        </a:prstGeom>
        <a:blipFill>
          <a:blip xmlns:r="http://schemas.openxmlformats.org/officeDocument/2006/relationships" r:embed="rId14"/>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0</xdr:colOff>
      <xdr:row>18</xdr:row>
      <xdr:rowOff>0</xdr:rowOff>
    </xdr:from>
    <xdr:to>
      <xdr:col>12</xdr:col>
      <xdr:colOff>0</xdr:colOff>
      <xdr:row>25</xdr:row>
      <xdr:rowOff>180974</xdr:rowOff>
    </xdr:to>
    <xdr:sp macro="" textlink="">
      <xdr:nvSpPr>
        <xdr:cNvPr id="10" name="Rectangle: Rounded Corners 9">
          <a:hlinkClick xmlns:r="http://schemas.openxmlformats.org/officeDocument/2006/relationships" r:id="rId15" tooltip="Go to Notes -Dates &amp; Time Functions"/>
          <a:extLst>
            <a:ext uri="{FF2B5EF4-FFF2-40B4-BE49-F238E27FC236}">
              <a16:creationId xmlns:a16="http://schemas.microsoft.com/office/drawing/2014/main" id="{5F66F3A5-D032-4EAE-B843-5923A8428EBD}"/>
            </a:ext>
          </a:extLst>
        </xdr:cNvPr>
        <xdr:cNvSpPr/>
      </xdr:nvSpPr>
      <xdr:spPr>
        <a:xfrm>
          <a:off x="4276725" y="3190875"/>
          <a:ext cx="1809750" cy="1447799"/>
        </a:xfrm>
        <a:prstGeom prst="roundRect">
          <a:avLst>
            <a:gd name="adj" fmla="val 4481"/>
          </a:avLst>
        </a:prstGeom>
        <a:blipFill>
          <a:blip xmlns:r="http://schemas.openxmlformats.org/officeDocument/2006/relationships" r:embed="rId16"/>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0</xdr:colOff>
      <xdr:row>18</xdr:row>
      <xdr:rowOff>0</xdr:rowOff>
    </xdr:from>
    <xdr:to>
      <xdr:col>16</xdr:col>
      <xdr:colOff>0</xdr:colOff>
      <xdr:row>25</xdr:row>
      <xdr:rowOff>180974</xdr:rowOff>
    </xdr:to>
    <xdr:sp macro="" textlink="">
      <xdr:nvSpPr>
        <xdr:cNvPr id="11" name="Rectangle: Rounded Corners 10">
          <a:hlinkClick xmlns:r="http://schemas.openxmlformats.org/officeDocument/2006/relationships" r:id="rId17" tooltip="Go to Notes -Financial Functions"/>
          <a:extLst>
            <a:ext uri="{FF2B5EF4-FFF2-40B4-BE49-F238E27FC236}">
              <a16:creationId xmlns:a16="http://schemas.microsoft.com/office/drawing/2014/main" id="{069F307A-652C-4E0A-9416-740CA41030E0}"/>
            </a:ext>
          </a:extLst>
        </xdr:cNvPr>
        <xdr:cNvSpPr/>
      </xdr:nvSpPr>
      <xdr:spPr>
        <a:xfrm>
          <a:off x="6334125" y="3190875"/>
          <a:ext cx="1809750" cy="1447799"/>
        </a:xfrm>
        <a:prstGeom prst="roundRect">
          <a:avLst>
            <a:gd name="adj" fmla="val 4481"/>
          </a:avLst>
        </a:prstGeom>
        <a:blipFill>
          <a:blip xmlns:r="http://schemas.openxmlformats.org/officeDocument/2006/relationships" r:embed="rId18"/>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0</xdr:colOff>
      <xdr:row>18</xdr:row>
      <xdr:rowOff>0</xdr:rowOff>
    </xdr:from>
    <xdr:to>
      <xdr:col>20</xdr:col>
      <xdr:colOff>0</xdr:colOff>
      <xdr:row>25</xdr:row>
      <xdr:rowOff>180974</xdr:rowOff>
    </xdr:to>
    <xdr:sp macro="" textlink="">
      <xdr:nvSpPr>
        <xdr:cNvPr id="12" name="Rectangle: Rounded Corners 11">
          <a:hlinkClick xmlns:r="http://schemas.openxmlformats.org/officeDocument/2006/relationships" r:id="rId19" tooltip="Go to Notes -Goal Seek, Solver"/>
          <a:extLst>
            <a:ext uri="{FF2B5EF4-FFF2-40B4-BE49-F238E27FC236}">
              <a16:creationId xmlns:a16="http://schemas.microsoft.com/office/drawing/2014/main" id="{004B6C25-8381-4760-83A3-77B32382D5ED}"/>
            </a:ext>
          </a:extLst>
        </xdr:cNvPr>
        <xdr:cNvSpPr/>
      </xdr:nvSpPr>
      <xdr:spPr>
        <a:xfrm>
          <a:off x="8391525" y="3190875"/>
          <a:ext cx="1809750" cy="1447799"/>
        </a:xfrm>
        <a:prstGeom prst="roundRect">
          <a:avLst>
            <a:gd name="adj" fmla="val 4481"/>
          </a:avLst>
        </a:prstGeom>
        <a:blipFill>
          <a:blip xmlns:r="http://schemas.openxmlformats.org/officeDocument/2006/relationships" r:embed="rId20"/>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0</xdr:colOff>
      <xdr:row>18</xdr:row>
      <xdr:rowOff>0</xdr:rowOff>
    </xdr:from>
    <xdr:to>
      <xdr:col>24</xdr:col>
      <xdr:colOff>0</xdr:colOff>
      <xdr:row>25</xdr:row>
      <xdr:rowOff>180974</xdr:rowOff>
    </xdr:to>
    <xdr:sp macro="" textlink="">
      <xdr:nvSpPr>
        <xdr:cNvPr id="13" name="Rectangle: Rounded Corners 12">
          <a:hlinkClick xmlns:r="http://schemas.openxmlformats.org/officeDocument/2006/relationships" r:id="rId21" tooltip="Go to Notes -Pivot Table"/>
          <a:extLst>
            <a:ext uri="{FF2B5EF4-FFF2-40B4-BE49-F238E27FC236}">
              <a16:creationId xmlns:a16="http://schemas.microsoft.com/office/drawing/2014/main" id="{DD2EB3DB-9182-49A0-8FCA-4063AA9045F8}"/>
            </a:ext>
          </a:extLst>
        </xdr:cNvPr>
        <xdr:cNvSpPr/>
      </xdr:nvSpPr>
      <xdr:spPr>
        <a:xfrm>
          <a:off x="10448925" y="3190875"/>
          <a:ext cx="1809750" cy="1447799"/>
        </a:xfrm>
        <a:prstGeom prst="roundRect">
          <a:avLst>
            <a:gd name="adj" fmla="val 4481"/>
          </a:avLst>
        </a:prstGeom>
        <a:blipFill>
          <a:blip xmlns:r="http://schemas.openxmlformats.org/officeDocument/2006/relationships" r:embed="rId22"/>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19</xdr:col>
      <xdr:colOff>0</xdr:colOff>
      <xdr:row>1</xdr:row>
      <xdr:rowOff>47627</xdr:rowOff>
    </xdr:from>
    <xdr:to>
      <xdr:col>20</xdr:col>
      <xdr:colOff>171444</xdr:colOff>
      <xdr:row>1</xdr:row>
      <xdr:rowOff>324077</xdr:rowOff>
    </xdr:to>
    <xdr:grpSp>
      <xdr:nvGrpSpPr>
        <xdr:cNvPr id="3" name="Group 2">
          <a:hlinkClick xmlns:r="http://schemas.openxmlformats.org/officeDocument/2006/relationships" r:id="rId23" tooltip="Go to Cover page"/>
          <a:extLst>
            <a:ext uri="{FF2B5EF4-FFF2-40B4-BE49-F238E27FC236}">
              <a16:creationId xmlns:a16="http://schemas.microsoft.com/office/drawing/2014/main" id="{A3872466-1ACA-44B4-B0D9-91EC4596F827}"/>
            </a:ext>
          </a:extLst>
        </xdr:cNvPr>
        <xdr:cNvGrpSpPr/>
      </xdr:nvGrpSpPr>
      <xdr:grpSpPr>
        <a:xfrm>
          <a:off x="9886950" y="225427"/>
          <a:ext cx="990594" cy="276450"/>
          <a:chOff x="3615235" y="2135609"/>
          <a:chExt cx="1011478" cy="463990"/>
        </a:xfrm>
      </xdr:grpSpPr>
      <xdr:sp macro="" textlink="">
        <xdr:nvSpPr>
          <xdr:cNvPr id="14" name="Rectangle 13">
            <a:extLst>
              <a:ext uri="{FF2B5EF4-FFF2-40B4-BE49-F238E27FC236}">
                <a16:creationId xmlns:a16="http://schemas.microsoft.com/office/drawing/2014/main" id="{35772AC0-6C2C-46FB-BC6E-AB559E83AA07}"/>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chemeClr val="accent1">
                  <a:lumMod val="50000"/>
                </a:schemeClr>
              </a:solidFill>
            </a:endParaRPr>
          </a:p>
        </xdr:txBody>
      </xdr:sp>
      <xdr:sp macro="" textlink="">
        <xdr:nvSpPr>
          <xdr:cNvPr id="15" name="Graphic 3" descr="Back with solid fill">
            <a:extLst>
              <a:ext uri="{FF2B5EF4-FFF2-40B4-BE49-F238E27FC236}">
                <a16:creationId xmlns:a16="http://schemas.microsoft.com/office/drawing/2014/main" id="{869C120C-3F70-DE1D-A9EA-1F38DADC20A1}"/>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accent1">
              <a:lumMod val="50000"/>
            </a:schemeClr>
          </a:solidFill>
          <a:ln w="9525" cap="flat">
            <a:noFill/>
            <a:prstDash val="solid"/>
            <a:miter/>
          </a:ln>
        </xdr:spPr>
        <xdr:txBody>
          <a:bodyPr rtlCol="0" anchor="ctr"/>
          <a:lstStyle/>
          <a:p>
            <a:endParaRPr lang="en-GH">
              <a:solidFill>
                <a:schemeClr val="accent1">
                  <a:lumMod val="50000"/>
                </a:schemeClr>
              </a:solidFill>
            </a:endParaRPr>
          </a:p>
        </xdr:txBody>
      </xdr:sp>
      <xdr:sp macro="" textlink="">
        <xdr:nvSpPr>
          <xdr:cNvPr id="16" name="TextBox 15">
            <a:extLst>
              <a:ext uri="{FF2B5EF4-FFF2-40B4-BE49-F238E27FC236}">
                <a16:creationId xmlns:a16="http://schemas.microsoft.com/office/drawing/2014/main" id="{6511B9B8-3D2C-9277-7B0B-52AA4D2A64E2}"/>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accent1">
                    <a:lumMod val="50000"/>
                  </a:schemeClr>
                </a:solidFill>
                <a:latin typeface="Comic Sans MS" panose="030F0702030302020204" pitchFamily="66" charset="0"/>
              </a:rPr>
              <a:t>Cover page</a:t>
            </a:r>
          </a:p>
        </xdr:txBody>
      </xdr:sp>
    </xdr:grpSp>
    <xdr:clientData/>
  </xdr:twoCellAnchor>
  <xdr:twoCellAnchor>
    <xdr:from>
      <xdr:col>22</xdr:col>
      <xdr:colOff>386558</xdr:colOff>
      <xdr:row>1</xdr:row>
      <xdr:rowOff>2</xdr:rowOff>
    </xdr:from>
    <xdr:to>
      <xdr:col>23</xdr:col>
      <xdr:colOff>193894</xdr:colOff>
      <xdr:row>2</xdr:row>
      <xdr:rowOff>25556</xdr:rowOff>
    </xdr:to>
    <xdr:grpSp>
      <xdr:nvGrpSpPr>
        <xdr:cNvPr id="17" name="Group 16">
          <a:hlinkClick xmlns:r="http://schemas.openxmlformats.org/officeDocument/2006/relationships" r:id="rId24" tooltip="Go to Previous page"/>
          <a:extLst>
            <a:ext uri="{FF2B5EF4-FFF2-40B4-BE49-F238E27FC236}">
              <a16:creationId xmlns:a16="http://schemas.microsoft.com/office/drawing/2014/main" id="{4C553F44-5A36-45A9-A7EC-83E706BE029A}"/>
            </a:ext>
          </a:extLst>
        </xdr:cNvPr>
        <xdr:cNvGrpSpPr/>
      </xdr:nvGrpSpPr>
      <xdr:grpSpPr>
        <a:xfrm>
          <a:off x="11613358" y="177802"/>
          <a:ext cx="626486" cy="355754"/>
          <a:chOff x="3207261" y="2135607"/>
          <a:chExt cx="689910" cy="602421"/>
        </a:xfrm>
      </xdr:grpSpPr>
      <xdr:sp macro="" textlink="">
        <xdr:nvSpPr>
          <xdr:cNvPr id="18" name="Rectangle 17">
            <a:extLst>
              <a:ext uri="{FF2B5EF4-FFF2-40B4-BE49-F238E27FC236}">
                <a16:creationId xmlns:a16="http://schemas.microsoft.com/office/drawing/2014/main" id="{E38FA2BE-8244-F11A-E941-7EFC5D88BD34}"/>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Graphic 3" descr="Back with solid fill">
            <a:extLst>
              <a:ext uri="{FF2B5EF4-FFF2-40B4-BE49-F238E27FC236}">
                <a16:creationId xmlns:a16="http://schemas.microsoft.com/office/drawing/2014/main" id="{16520A07-75F2-8D35-BC9A-3AB058AAC252}"/>
              </a:ext>
            </a:extLst>
          </xdr:cNvPr>
          <xdr:cNvSpPr/>
        </xdr:nvSpPr>
        <xdr:spPr>
          <a:xfrm flipH="1">
            <a:off x="3207261" y="2194483"/>
            <a:ext cx="633176" cy="483375"/>
          </a:xfrm>
          <a:prstGeom prst="rightArrow">
            <a:avLst>
              <a:gd name="adj1" fmla="val 62251"/>
              <a:gd name="adj2" fmla="val 34815"/>
            </a:avLst>
          </a:prstGeom>
          <a:solidFill>
            <a:schemeClr val="accent1">
              <a:lumMod val="50000"/>
            </a:schemeClr>
          </a:solidFill>
          <a:ln w="9525" cap="flat">
            <a:noFill/>
            <a:prstDash val="solid"/>
            <a:miter/>
          </a:ln>
        </xdr:spPr>
        <xdr:txBody>
          <a:bodyPr rtlCol="0" anchor="ctr"/>
          <a:lstStyle/>
          <a:p>
            <a:endParaRPr lang="en-GH"/>
          </a:p>
        </xdr:txBody>
      </xdr:sp>
      <xdr:sp macro="" textlink="">
        <xdr:nvSpPr>
          <xdr:cNvPr id="20" name="TextBox 19">
            <a:extLst>
              <a:ext uri="{FF2B5EF4-FFF2-40B4-BE49-F238E27FC236}">
                <a16:creationId xmlns:a16="http://schemas.microsoft.com/office/drawing/2014/main" id="{3EB7DFA5-0869-CA73-5F57-F7C0781DE8B5}"/>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Previous</a:t>
            </a:r>
          </a:p>
        </xdr:txBody>
      </xdr:sp>
    </xdr:grpSp>
    <xdr:clientData/>
  </xdr:twoCellAnchor>
  <xdr:twoCellAnchor>
    <xdr:from>
      <xdr:col>23</xdr:col>
      <xdr:colOff>422024</xdr:colOff>
      <xdr:row>1</xdr:row>
      <xdr:rowOff>0</xdr:rowOff>
    </xdr:from>
    <xdr:to>
      <xdr:col>24</xdr:col>
      <xdr:colOff>200019</xdr:colOff>
      <xdr:row>2</xdr:row>
      <xdr:rowOff>25554</xdr:rowOff>
    </xdr:to>
    <xdr:grpSp>
      <xdr:nvGrpSpPr>
        <xdr:cNvPr id="21" name="Group 20">
          <a:hlinkClick xmlns:r="http://schemas.openxmlformats.org/officeDocument/2006/relationships" r:id="rId25" tooltip="Go to Next page"/>
          <a:extLst>
            <a:ext uri="{FF2B5EF4-FFF2-40B4-BE49-F238E27FC236}">
              <a16:creationId xmlns:a16="http://schemas.microsoft.com/office/drawing/2014/main" id="{7C5BE343-5C7E-40CE-A744-0A95E1D3E0EE}"/>
            </a:ext>
          </a:extLst>
        </xdr:cNvPr>
        <xdr:cNvGrpSpPr/>
      </xdr:nvGrpSpPr>
      <xdr:grpSpPr>
        <a:xfrm rot="10800000">
          <a:off x="12467974" y="177800"/>
          <a:ext cx="597145" cy="355754"/>
          <a:chOff x="3185180" y="2135611"/>
          <a:chExt cx="648224" cy="602421"/>
        </a:xfrm>
      </xdr:grpSpPr>
      <xdr:sp macro="" textlink="">
        <xdr:nvSpPr>
          <xdr:cNvPr id="22" name="Rectangle 21">
            <a:extLst>
              <a:ext uri="{FF2B5EF4-FFF2-40B4-BE49-F238E27FC236}">
                <a16:creationId xmlns:a16="http://schemas.microsoft.com/office/drawing/2014/main" id="{B8587A51-72F1-5968-D9A8-25D04931EF5F}"/>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3" name="Graphic 3" descr="Back with solid fill">
            <a:extLst>
              <a:ext uri="{FF2B5EF4-FFF2-40B4-BE49-F238E27FC236}">
                <a16:creationId xmlns:a16="http://schemas.microsoft.com/office/drawing/2014/main" id="{2692A284-C060-9BD4-6EF9-573E72E049C3}"/>
              </a:ext>
            </a:extLst>
          </xdr:cNvPr>
          <xdr:cNvSpPr/>
        </xdr:nvSpPr>
        <xdr:spPr>
          <a:xfrm flipH="1">
            <a:off x="3207263" y="2194483"/>
            <a:ext cx="626141" cy="483375"/>
          </a:xfrm>
          <a:prstGeom prst="rightArrow">
            <a:avLst>
              <a:gd name="adj1" fmla="val 62251"/>
              <a:gd name="adj2" fmla="val 34815"/>
            </a:avLst>
          </a:prstGeom>
          <a:solidFill>
            <a:schemeClr val="accent1">
              <a:lumMod val="50000"/>
            </a:schemeClr>
          </a:solidFill>
          <a:ln w="9525" cap="flat">
            <a:noFill/>
            <a:prstDash val="solid"/>
            <a:miter/>
          </a:ln>
        </xdr:spPr>
        <xdr:txBody>
          <a:bodyPr rtlCol="0" anchor="ctr"/>
          <a:lstStyle/>
          <a:p>
            <a:endParaRPr lang="en-GH">
              <a:solidFill>
                <a:schemeClr val="bg1"/>
              </a:solidFill>
            </a:endParaRPr>
          </a:p>
        </xdr:txBody>
      </xdr:sp>
      <xdr:sp macro="" textlink="">
        <xdr:nvSpPr>
          <xdr:cNvPr id="24" name="TextBox 23">
            <a:extLst>
              <a:ext uri="{FF2B5EF4-FFF2-40B4-BE49-F238E27FC236}">
                <a16:creationId xmlns:a16="http://schemas.microsoft.com/office/drawing/2014/main" id="{CE18BD1E-23DE-EA6E-8AEF-4C59DF57F558}"/>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Next</a:t>
            </a:r>
          </a:p>
        </xdr:txBody>
      </xdr:sp>
    </xdr:grpSp>
    <xdr:clientData/>
  </xdr:twoCellAnchor>
  <xdr:twoCellAnchor>
    <xdr:from>
      <xdr:col>21</xdr:col>
      <xdr:colOff>151923</xdr:colOff>
      <xdr:row>1</xdr:row>
      <xdr:rowOff>44606</xdr:rowOff>
    </xdr:from>
    <xdr:to>
      <xdr:col>22</xdr:col>
      <xdr:colOff>158429</xdr:colOff>
      <xdr:row>1</xdr:row>
      <xdr:rowOff>296878</xdr:rowOff>
    </xdr:to>
    <xdr:grpSp>
      <xdr:nvGrpSpPr>
        <xdr:cNvPr id="25" name="Group 24">
          <a:hlinkClick xmlns:r="http://schemas.openxmlformats.org/officeDocument/2006/relationships" r:id="rId26" tooltip="Go to Gallery"/>
          <a:extLst>
            <a:ext uri="{FF2B5EF4-FFF2-40B4-BE49-F238E27FC236}">
              <a16:creationId xmlns:a16="http://schemas.microsoft.com/office/drawing/2014/main" id="{109A8704-254D-4642-B7B0-705B1A853950}"/>
            </a:ext>
          </a:extLst>
        </xdr:cNvPr>
        <xdr:cNvGrpSpPr/>
      </xdr:nvGrpSpPr>
      <xdr:grpSpPr>
        <a:xfrm>
          <a:off x="11118373" y="222406"/>
          <a:ext cx="266856" cy="252272"/>
          <a:chOff x="5270413" y="829190"/>
          <a:chExt cx="251434" cy="252272"/>
        </a:xfrm>
        <a:solidFill>
          <a:schemeClr val="accent1">
            <a:lumMod val="50000"/>
          </a:schemeClr>
        </a:solidFill>
      </xdr:grpSpPr>
      <xdr:sp macro="" textlink="">
        <xdr:nvSpPr>
          <xdr:cNvPr id="26" name="Rectangle 25">
            <a:extLst>
              <a:ext uri="{FF2B5EF4-FFF2-40B4-BE49-F238E27FC236}">
                <a16:creationId xmlns:a16="http://schemas.microsoft.com/office/drawing/2014/main" id="{8087CDB2-B9F7-7CAE-3664-FCB25961F055}"/>
              </a:ext>
            </a:extLst>
          </xdr:cNvPr>
          <xdr:cNvSpPr/>
        </xdr:nvSpPr>
        <xdr:spPr>
          <a:xfrm>
            <a:off x="5270414"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784051DC-8E5D-0F1B-5EDB-7D6A4AEFD729}"/>
              </a:ext>
            </a:extLst>
          </xdr:cNvPr>
          <xdr:cNvSpPr/>
        </xdr:nvSpPr>
        <xdr:spPr>
          <a:xfrm>
            <a:off x="5360130"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752CFFFB-FA90-5540-1803-22FE74145E3C}"/>
              </a:ext>
            </a:extLst>
          </xdr:cNvPr>
          <xdr:cNvSpPr/>
        </xdr:nvSpPr>
        <xdr:spPr>
          <a:xfrm>
            <a:off x="5449847"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813DE03B-31D3-4BF1-B3B5-0241EF366953}"/>
              </a:ext>
            </a:extLst>
          </xdr:cNvPr>
          <xdr:cNvSpPr/>
        </xdr:nvSpPr>
        <xdr:spPr>
          <a:xfrm>
            <a:off x="5270413"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5B8E9E08-C5A8-09C5-66FD-F070C2AA4070}"/>
              </a:ext>
            </a:extLst>
          </xdr:cNvPr>
          <xdr:cNvSpPr/>
        </xdr:nvSpPr>
        <xdr:spPr>
          <a:xfrm>
            <a:off x="5360129"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35A627E7-0978-850C-2AAB-22269339B4A6}"/>
              </a:ext>
            </a:extLst>
          </xdr:cNvPr>
          <xdr:cNvSpPr/>
        </xdr:nvSpPr>
        <xdr:spPr>
          <a:xfrm>
            <a:off x="5449846"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F18C461B-14C4-E1A2-F101-6221F01D771F}"/>
              </a:ext>
            </a:extLst>
          </xdr:cNvPr>
          <xdr:cNvSpPr/>
        </xdr:nvSpPr>
        <xdr:spPr>
          <a:xfrm>
            <a:off x="5270414"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B75C9D5F-A18F-A9B2-8217-C2DACB753067}"/>
              </a:ext>
            </a:extLst>
          </xdr:cNvPr>
          <xdr:cNvSpPr/>
        </xdr:nvSpPr>
        <xdr:spPr>
          <a:xfrm>
            <a:off x="5360130"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2066E99C-EED8-9594-2FED-7115982F371A}"/>
              </a:ext>
            </a:extLst>
          </xdr:cNvPr>
          <xdr:cNvSpPr/>
        </xdr:nvSpPr>
        <xdr:spPr>
          <a:xfrm>
            <a:off x="5449847"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0</xdr:colOff>
      <xdr:row>8</xdr:row>
      <xdr:rowOff>0</xdr:rowOff>
    </xdr:from>
    <xdr:to>
      <xdr:col>8</xdr:col>
      <xdr:colOff>0</xdr:colOff>
      <xdr:row>15</xdr:row>
      <xdr:rowOff>180974</xdr:rowOff>
    </xdr:to>
    <xdr:sp macro="" textlink="">
      <xdr:nvSpPr>
        <xdr:cNvPr id="35" name="Rectangle: Rounded Corners 34">
          <a:hlinkClick xmlns:r="http://schemas.openxmlformats.org/officeDocument/2006/relationships" r:id="rId25" tooltip="Go to Notes -Introduction to Excel"/>
          <a:extLst>
            <a:ext uri="{FF2B5EF4-FFF2-40B4-BE49-F238E27FC236}">
              <a16:creationId xmlns:a16="http://schemas.microsoft.com/office/drawing/2014/main" id="{AD6B0197-75A5-4D73-83DF-0814A4E533E7}"/>
            </a:ext>
          </a:extLst>
        </xdr:cNvPr>
        <xdr:cNvSpPr/>
      </xdr:nvSpPr>
      <xdr:spPr>
        <a:xfrm>
          <a:off x="4276725" y="1381125"/>
          <a:ext cx="1809750" cy="1447799"/>
        </a:xfrm>
        <a:prstGeom prst="roundRect">
          <a:avLst>
            <a:gd name="adj" fmla="val 4481"/>
          </a:avLst>
        </a:prstGeom>
        <a:blipFill>
          <a:blip xmlns:r="http://schemas.openxmlformats.org/officeDocument/2006/relationships" r:embed="rId27"/>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absolute">
    <xdr:from>
      <xdr:col>6</xdr:col>
      <xdr:colOff>19050</xdr:colOff>
      <xdr:row>9</xdr:row>
      <xdr:rowOff>76200</xdr:rowOff>
    </xdr:from>
    <xdr:to>
      <xdr:col>17</xdr:col>
      <xdr:colOff>1600200</xdr:colOff>
      <xdr:row>28</xdr:row>
      <xdr:rowOff>95250</xdr:rowOff>
    </xdr:to>
    <xdr:grpSp>
      <xdr:nvGrpSpPr>
        <xdr:cNvPr id="2" name="Group 1">
          <a:extLst>
            <a:ext uri="{FF2B5EF4-FFF2-40B4-BE49-F238E27FC236}">
              <a16:creationId xmlns:a16="http://schemas.microsoft.com/office/drawing/2014/main" id="{EA724700-E0D6-4595-8F03-7CA40A394C8C}"/>
            </a:ext>
          </a:extLst>
        </xdr:cNvPr>
        <xdr:cNvGrpSpPr/>
      </xdr:nvGrpSpPr>
      <xdr:grpSpPr>
        <a:xfrm>
          <a:off x="2762250" y="1790700"/>
          <a:ext cx="10591800" cy="3422650"/>
          <a:chOff x="2514600" y="2495550"/>
          <a:chExt cx="10048875" cy="2990850"/>
        </a:xfrm>
      </xdr:grpSpPr>
      <xdr:pic>
        <xdr:nvPicPr>
          <xdr:cNvPr id="3" name="Picture 2">
            <a:extLst>
              <a:ext uri="{FF2B5EF4-FFF2-40B4-BE49-F238E27FC236}">
                <a16:creationId xmlns:a16="http://schemas.microsoft.com/office/drawing/2014/main" id="{9409DAA7-8632-CB7D-2702-DEBE3C722D0D}"/>
              </a:ext>
            </a:extLst>
          </xdr:cNvPr>
          <xdr:cNvPicPr>
            <a:picLocks noChangeAspect="1"/>
          </xdr:cNvPicPr>
        </xdr:nvPicPr>
        <xdr:blipFill>
          <a:blip xmlns:r="http://schemas.openxmlformats.org/officeDocument/2006/relationships" r:embed="rId1"/>
          <a:stretch>
            <a:fillRect/>
          </a:stretch>
        </xdr:blipFill>
        <xdr:spPr>
          <a:xfrm>
            <a:off x="3214481" y="3429000"/>
            <a:ext cx="9223545" cy="1459387"/>
          </a:xfrm>
          <a:prstGeom prst="rect">
            <a:avLst/>
          </a:prstGeom>
        </xdr:spPr>
      </xdr:pic>
      <xdr:cxnSp macro="">
        <xdr:nvCxnSpPr>
          <xdr:cNvPr id="4" name="Straight Arrow Connector 3">
            <a:extLst>
              <a:ext uri="{FF2B5EF4-FFF2-40B4-BE49-F238E27FC236}">
                <a16:creationId xmlns:a16="http://schemas.microsoft.com/office/drawing/2014/main" id="{88A1A552-A8BA-AFAD-2A40-B00AEC72F199}"/>
              </a:ext>
            </a:extLst>
          </xdr:cNvPr>
          <xdr:cNvCxnSpPr/>
        </xdr:nvCxnSpPr>
        <xdr:spPr>
          <a:xfrm>
            <a:off x="3028950" y="3648075"/>
            <a:ext cx="228600" cy="323850"/>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 name="Rectangle: Rounded Corners 4">
            <a:extLst>
              <a:ext uri="{FF2B5EF4-FFF2-40B4-BE49-F238E27FC236}">
                <a16:creationId xmlns:a16="http://schemas.microsoft.com/office/drawing/2014/main" id="{3A5CFB96-7088-DD51-4DF2-4EA972028F55}"/>
              </a:ext>
            </a:extLst>
          </xdr:cNvPr>
          <xdr:cNvSpPr/>
        </xdr:nvSpPr>
        <xdr:spPr>
          <a:xfrm>
            <a:off x="3238500" y="3914775"/>
            <a:ext cx="8905875" cy="676275"/>
          </a:xfrm>
          <a:prstGeom prst="roundRect">
            <a:avLst/>
          </a:prstGeom>
          <a:noFill/>
          <a:ln w="19050" cap="flat" cmpd="sng" algn="ctr">
            <a:solidFill>
              <a:srgbClr val="E632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GH" sz="1100"/>
          </a:p>
        </xdr:txBody>
      </xdr:sp>
      <xdr:sp macro="" textlink="">
        <xdr:nvSpPr>
          <xdr:cNvPr id="6" name="TextBox 5">
            <a:extLst>
              <a:ext uri="{FF2B5EF4-FFF2-40B4-BE49-F238E27FC236}">
                <a16:creationId xmlns:a16="http://schemas.microsoft.com/office/drawing/2014/main" id="{64AC20D6-E365-59B8-A254-7FACFA9A164B}"/>
              </a:ext>
            </a:extLst>
          </xdr:cNvPr>
          <xdr:cNvSpPr txBox="1"/>
        </xdr:nvSpPr>
        <xdr:spPr>
          <a:xfrm>
            <a:off x="2514600" y="3409950"/>
            <a:ext cx="923925" cy="40005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200"/>
                </a:solidFill>
              </a:rPr>
              <a:t>Ribbon</a:t>
            </a:r>
            <a:endParaRPr lang="en-GH" sz="1100">
              <a:solidFill>
                <a:srgbClr val="E63200"/>
              </a:solidFill>
            </a:endParaRPr>
          </a:p>
        </xdr:txBody>
      </xdr:sp>
      <xdr:sp macro="" textlink="">
        <xdr:nvSpPr>
          <xdr:cNvPr id="7" name="TextBox 6">
            <a:extLst>
              <a:ext uri="{FF2B5EF4-FFF2-40B4-BE49-F238E27FC236}">
                <a16:creationId xmlns:a16="http://schemas.microsoft.com/office/drawing/2014/main" id="{7AB311AD-D165-77C9-F6D3-3818A8FA2839}"/>
              </a:ext>
            </a:extLst>
          </xdr:cNvPr>
          <xdr:cNvSpPr txBox="1"/>
        </xdr:nvSpPr>
        <xdr:spPr>
          <a:xfrm>
            <a:off x="3286125" y="3714749"/>
            <a:ext cx="5619750" cy="152401"/>
          </a:xfrm>
          <a:prstGeom prst="rect">
            <a:avLst/>
          </a:prstGeom>
          <a:noFill/>
          <a:ln w="19050" cmpd="sng">
            <a:solidFill>
              <a:srgbClr val="FF0000"/>
            </a:solidFill>
            <a:prstDash val="sysDot"/>
            <a:extLst>
              <a:ext uri="{C807C97D-BFC1-408E-A445-0C87EB9F89A2}">
                <ask:lineSketchStyleProps xmlns:ask="http://schemas.microsoft.com/office/drawing/2018/sketchyshapes" sd="3229552602">
                  <a:custGeom>
                    <a:avLst/>
                    <a:gdLst>
                      <a:gd name="connsiteX0" fmla="*/ 0 w 5619750"/>
                      <a:gd name="connsiteY0" fmla="*/ 0 h 152401"/>
                      <a:gd name="connsiteX1" fmla="*/ 505778 w 5619750"/>
                      <a:gd name="connsiteY1" fmla="*/ 0 h 152401"/>
                      <a:gd name="connsiteX2" fmla="*/ 1180148 w 5619750"/>
                      <a:gd name="connsiteY2" fmla="*/ 0 h 152401"/>
                      <a:gd name="connsiteX3" fmla="*/ 1629728 w 5619750"/>
                      <a:gd name="connsiteY3" fmla="*/ 0 h 152401"/>
                      <a:gd name="connsiteX4" fmla="*/ 2079308 w 5619750"/>
                      <a:gd name="connsiteY4" fmla="*/ 0 h 152401"/>
                      <a:gd name="connsiteX5" fmla="*/ 2472690 w 5619750"/>
                      <a:gd name="connsiteY5" fmla="*/ 0 h 152401"/>
                      <a:gd name="connsiteX6" fmla="*/ 2978468 w 5619750"/>
                      <a:gd name="connsiteY6" fmla="*/ 0 h 152401"/>
                      <a:gd name="connsiteX7" fmla="*/ 3484245 w 5619750"/>
                      <a:gd name="connsiteY7" fmla="*/ 0 h 152401"/>
                      <a:gd name="connsiteX8" fmla="*/ 3933825 w 5619750"/>
                      <a:gd name="connsiteY8" fmla="*/ 0 h 152401"/>
                      <a:gd name="connsiteX9" fmla="*/ 4439603 w 5619750"/>
                      <a:gd name="connsiteY9" fmla="*/ 0 h 152401"/>
                      <a:gd name="connsiteX10" fmla="*/ 5057775 w 5619750"/>
                      <a:gd name="connsiteY10" fmla="*/ 0 h 152401"/>
                      <a:gd name="connsiteX11" fmla="*/ 5619750 w 5619750"/>
                      <a:gd name="connsiteY11" fmla="*/ 0 h 152401"/>
                      <a:gd name="connsiteX12" fmla="*/ 5619750 w 5619750"/>
                      <a:gd name="connsiteY12" fmla="*/ 152401 h 152401"/>
                      <a:gd name="connsiteX13" fmla="*/ 5057775 w 5619750"/>
                      <a:gd name="connsiteY13" fmla="*/ 152401 h 152401"/>
                      <a:gd name="connsiteX14" fmla="*/ 4495800 w 5619750"/>
                      <a:gd name="connsiteY14" fmla="*/ 152401 h 152401"/>
                      <a:gd name="connsiteX15" fmla="*/ 4102418 w 5619750"/>
                      <a:gd name="connsiteY15" fmla="*/ 152401 h 152401"/>
                      <a:gd name="connsiteX16" fmla="*/ 3484245 w 5619750"/>
                      <a:gd name="connsiteY16" fmla="*/ 152401 h 152401"/>
                      <a:gd name="connsiteX17" fmla="*/ 2978468 w 5619750"/>
                      <a:gd name="connsiteY17" fmla="*/ 152401 h 152401"/>
                      <a:gd name="connsiteX18" fmla="*/ 2416492 w 5619750"/>
                      <a:gd name="connsiteY18" fmla="*/ 152401 h 152401"/>
                      <a:gd name="connsiteX19" fmla="*/ 2023110 w 5619750"/>
                      <a:gd name="connsiteY19" fmla="*/ 152401 h 152401"/>
                      <a:gd name="connsiteX20" fmla="*/ 1573530 w 5619750"/>
                      <a:gd name="connsiteY20" fmla="*/ 152401 h 152401"/>
                      <a:gd name="connsiteX21" fmla="*/ 1011555 w 5619750"/>
                      <a:gd name="connsiteY21" fmla="*/ 152401 h 152401"/>
                      <a:gd name="connsiteX22" fmla="*/ 0 w 5619750"/>
                      <a:gd name="connsiteY22" fmla="*/ 152401 h 152401"/>
                      <a:gd name="connsiteX23" fmla="*/ 0 w 5619750"/>
                      <a:gd name="connsiteY23" fmla="*/ 0 h 152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5619750" h="152401" extrusionOk="0">
                        <a:moveTo>
                          <a:pt x="0" y="0"/>
                        </a:moveTo>
                        <a:cubicBezTo>
                          <a:pt x="204968" y="-15926"/>
                          <a:pt x="259694" y="51029"/>
                          <a:pt x="505778" y="0"/>
                        </a:cubicBezTo>
                        <a:cubicBezTo>
                          <a:pt x="751862" y="-51029"/>
                          <a:pt x="998967" y="4143"/>
                          <a:pt x="1180148" y="0"/>
                        </a:cubicBezTo>
                        <a:cubicBezTo>
                          <a:pt x="1361329" y="-4143"/>
                          <a:pt x="1479862" y="29476"/>
                          <a:pt x="1629728" y="0"/>
                        </a:cubicBezTo>
                        <a:cubicBezTo>
                          <a:pt x="1779594" y="-29476"/>
                          <a:pt x="1967337" y="15058"/>
                          <a:pt x="2079308" y="0"/>
                        </a:cubicBezTo>
                        <a:cubicBezTo>
                          <a:pt x="2191279" y="-15058"/>
                          <a:pt x="2339090" y="19"/>
                          <a:pt x="2472690" y="0"/>
                        </a:cubicBezTo>
                        <a:cubicBezTo>
                          <a:pt x="2606290" y="-19"/>
                          <a:pt x="2760283" y="40889"/>
                          <a:pt x="2978468" y="0"/>
                        </a:cubicBezTo>
                        <a:cubicBezTo>
                          <a:pt x="3196653" y="-40889"/>
                          <a:pt x="3368445" y="10325"/>
                          <a:pt x="3484245" y="0"/>
                        </a:cubicBezTo>
                        <a:cubicBezTo>
                          <a:pt x="3600045" y="-10325"/>
                          <a:pt x="3786886" y="44230"/>
                          <a:pt x="3933825" y="0"/>
                        </a:cubicBezTo>
                        <a:cubicBezTo>
                          <a:pt x="4080764" y="-44230"/>
                          <a:pt x="4322967" y="54018"/>
                          <a:pt x="4439603" y="0"/>
                        </a:cubicBezTo>
                        <a:cubicBezTo>
                          <a:pt x="4556239" y="-54018"/>
                          <a:pt x="4812829" y="31901"/>
                          <a:pt x="5057775" y="0"/>
                        </a:cubicBezTo>
                        <a:cubicBezTo>
                          <a:pt x="5302721" y="-31901"/>
                          <a:pt x="5433136" y="34016"/>
                          <a:pt x="5619750" y="0"/>
                        </a:cubicBezTo>
                        <a:cubicBezTo>
                          <a:pt x="5636929" y="37595"/>
                          <a:pt x="5615403" y="115163"/>
                          <a:pt x="5619750" y="152401"/>
                        </a:cubicBezTo>
                        <a:cubicBezTo>
                          <a:pt x="5360268" y="212945"/>
                          <a:pt x="5228119" y="92717"/>
                          <a:pt x="5057775" y="152401"/>
                        </a:cubicBezTo>
                        <a:cubicBezTo>
                          <a:pt x="4887431" y="212085"/>
                          <a:pt x="4752332" y="133256"/>
                          <a:pt x="4495800" y="152401"/>
                        </a:cubicBezTo>
                        <a:cubicBezTo>
                          <a:pt x="4239268" y="171546"/>
                          <a:pt x="4238989" y="105763"/>
                          <a:pt x="4102418" y="152401"/>
                        </a:cubicBezTo>
                        <a:cubicBezTo>
                          <a:pt x="3965847" y="199039"/>
                          <a:pt x="3711163" y="112654"/>
                          <a:pt x="3484245" y="152401"/>
                        </a:cubicBezTo>
                        <a:cubicBezTo>
                          <a:pt x="3257327" y="192148"/>
                          <a:pt x="3098699" y="125745"/>
                          <a:pt x="2978468" y="152401"/>
                        </a:cubicBezTo>
                        <a:cubicBezTo>
                          <a:pt x="2858237" y="179057"/>
                          <a:pt x="2608405" y="143833"/>
                          <a:pt x="2416492" y="152401"/>
                        </a:cubicBezTo>
                        <a:cubicBezTo>
                          <a:pt x="2224579" y="160969"/>
                          <a:pt x="2136240" y="125820"/>
                          <a:pt x="2023110" y="152401"/>
                        </a:cubicBezTo>
                        <a:cubicBezTo>
                          <a:pt x="1909980" y="178982"/>
                          <a:pt x="1676618" y="137004"/>
                          <a:pt x="1573530" y="152401"/>
                        </a:cubicBezTo>
                        <a:cubicBezTo>
                          <a:pt x="1470442" y="167798"/>
                          <a:pt x="1229484" y="123742"/>
                          <a:pt x="1011555" y="152401"/>
                        </a:cubicBezTo>
                        <a:cubicBezTo>
                          <a:pt x="793626" y="181060"/>
                          <a:pt x="411540" y="47816"/>
                          <a:pt x="0" y="152401"/>
                        </a:cubicBezTo>
                        <a:cubicBezTo>
                          <a:pt x="-320" y="76205"/>
                          <a:pt x="4309" y="50454"/>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H" sz="1100"/>
          </a:p>
        </xdr:txBody>
      </xdr:sp>
      <xdr:cxnSp macro="">
        <xdr:nvCxnSpPr>
          <xdr:cNvPr id="8" name="Straight Arrow Connector 7">
            <a:extLst>
              <a:ext uri="{FF2B5EF4-FFF2-40B4-BE49-F238E27FC236}">
                <a16:creationId xmlns:a16="http://schemas.microsoft.com/office/drawing/2014/main" id="{9F3B5F2C-DBC1-6181-4D87-E882D727639B}"/>
              </a:ext>
            </a:extLst>
          </xdr:cNvPr>
          <xdr:cNvCxnSpPr/>
        </xdr:nvCxnSpPr>
        <xdr:spPr>
          <a:xfrm>
            <a:off x="5248275" y="2762250"/>
            <a:ext cx="38101" cy="952500"/>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 name="TextBox 8">
            <a:extLst>
              <a:ext uri="{FF2B5EF4-FFF2-40B4-BE49-F238E27FC236}">
                <a16:creationId xmlns:a16="http://schemas.microsoft.com/office/drawing/2014/main" id="{F5719119-37DF-3D6E-1A77-A7B376DF9B22}"/>
              </a:ext>
            </a:extLst>
          </xdr:cNvPr>
          <xdr:cNvSpPr txBox="1"/>
        </xdr:nvSpPr>
        <xdr:spPr>
          <a:xfrm>
            <a:off x="4772025" y="2543175"/>
            <a:ext cx="1038225" cy="40005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200"/>
                </a:solidFill>
              </a:rPr>
              <a:t>Command Tab</a:t>
            </a:r>
            <a:endParaRPr lang="en-GH" sz="1100">
              <a:solidFill>
                <a:srgbClr val="E63200"/>
              </a:solidFill>
            </a:endParaRPr>
          </a:p>
        </xdr:txBody>
      </xdr:sp>
      <xdr:cxnSp macro="">
        <xdr:nvCxnSpPr>
          <xdr:cNvPr id="10" name="Straight Arrow Connector 9">
            <a:extLst>
              <a:ext uri="{FF2B5EF4-FFF2-40B4-BE49-F238E27FC236}">
                <a16:creationId xmlns:a16="http://schemas.microsoft.com/office/drawing/2014/main" id="{E52E8694-9625-B1E6-5C27-A9FE403C520A}"/>
              </a:ext>
            </a:extLst>
          </xdr:cNvPr>
          <xdr:cNvCxnSpPr/>
        </xdr:nvCxnSpPr>
        <xdr:spPr>
          <a:xfrm flipV="1">
            <a:off x="3219450" y="4781552"/>
            <a:ext cx="228600" cy="266698"/>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Straight Arrow Connector 10">
            <a:extLst>
              <a:ext uri="{FF2B5EF4-FFF2-40B4-BE49-F238E27FC236}">
                <a16:creationId xmlns:a16="http://schemas.microsoft.com/office/drawing/2014/main" id="{B0EE26A4-EE00-F94E-2A0F-11E387A7A3F4}"/>
              </a:ext>
            </a:extLst>
          </xdr:cNvPr>
          <xdr:cNvCxnSpPr/>
        </xdr:nvCxnSpPr>
        <xdr:spPr>
          <a:xfrm flipV="1">
            <a:off x="4943475" y="4781551"/>
            <a:ext cx="19050" cy="352424"/>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 name="TextBox 11">
            <a:extLst>
              <a:ext uri="{FF2B5EF4-FFF2-40B4-BE49-F238E27FC236}">
                <a16:creationId xmlns:a16="http://schemas.microsoft.com/office/drawing/2014/main" id="{7C0C0012-0F3F-2B93-887B-A76C087F5682}"/>
              </a:ext>
            </a:extLst>
          </xdr:cNvPr>
          <xdr:cNvSpPr txBox="1"/>
        </xdr:nvSpPr>
        <xdr:spPr>
          <a:xfrm>
            <a:off x="2619375" y="4972050"/>
            <a:ext cx="923925" cy="40005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200"/>
                </a:solidFill>
              </a:rPr>
              <a:t>Name Box</a:t>
            </a:r>
            <a:endParaRPr lang="en-GH" sz="1100">
              <a:solidFill>
                <a:srgbClr val="E63200"/>
              </a:solidFill>
            </a:endParaRPr>
          </a:p>
        </xdr:txBody>
      </xdr:sp>
      <xdr:sp macro="" textlink="">
        <xdr:nvSpPr>
          <xdr:cNvPr id="13" name="TextBox 12">
            <a:extLst>
              <a:ext uri="{FF2B5EF4-FFF2-40B4-BE49-F238E27FC236}">
                <a16:creationId xmlns:a16="http://schemas.microsoft.com/office/drawing/2014/main" id="{52F01095-910A-3258-ACED-35841191737F}"/>
              </a:ext>
            </a:extLst>
          </xdr:cNvPr>
          <xdr:cNvSpPr txBox="1"/>
        </xdr:nvSpPr>
        <xdr:spPr>
          <a:xfrm>
            <a:off x="4410075" y="5086350"/>
            <a:ext cx="923925" cy="40005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200"/>
                </a:solidFill>
              </a:rPr>
              <a:t>Formula bar</a:t>
            </a:r>
            <a:endParaRPr lang="en-GH" sz="1100">
              <a:solidFill>
                <a:srgbClr val="E63200"/>
              </a:solidFill>
            </a:endParaRPr>
          </a:p>
        </xdr:txBody>
      </xdr:sp>
      <xdr:cxnSp macro="">
        <xdr:nvCxnSpPr>
          <xdr:cNvPr id="14" name="Straight Arrow Connector 13">
            <a:extLst>
              <a:ext uri="{FF2B5EF4-FFF2-40B4-BE49-F238E27FC236}">
                <a16:creationId xmlns:a16="http://schemas.microsoft.com/office/drawing/2014/main" id="{82841C67-D24A-2CFA-CBC1-2B419545816B}"/>
              </a:ext>
            </a:extLst>
          </xdr:cNvPr>
          <xdr:cNvCxnSpPr/>
        </xdr:nvCxnSpPr>
        <xdr:spPr>
          <a:xfrm>
            <a:off x="6305550" y="3048000"/>
            <a:ext cx="28576" cy="485775"/>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xtBox 14">
            <a:extLst>
              <a:ext uri="{FF2B5EF4-FFF2-40B4-BE49-F238E27FC236}">
                <a16:creationId xmlns:a16="http://schemas.microsoft.com/office/drawing/2014/main" id="{BEF310B6-21EB-46A3-FBAC-9110398A715C}"/>
              </a:ext>
            </a:extLst>
          </xdr:cNvPr>
          <xdr:cNvSpPr txBox="1"/>
        </xdr:nvSpPr>
        <xdr:spPr>
          <a:xfrm>
            <a:off x="5953125" y="2809875"/>
            <a:ext cx="1038225" cy="40005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200"/>
                </a:solidFill>
              </a:rPr>
              <a:t>Title bar</a:t>
            </a:r>
            <a:endParaRPr lang="en-GH" sz="1100">
              <a:solidFill>
                <a:srgbClr val="E63200"/>
              </a:solidFill>
            </a:endParaRPr>
          </a:p>
        </xdr:txBody>
      </xdr:sp>
      <xdr:cxnSp macro="">
        <xdr:nvCxnSpPr>
          <xdr:cNvPr id="16" name="Straight Arrow Connector 15">
            <a:extLst>
              <a:ext uri="{FF2B5EF4-FFF2-40B4-BE49-F238E27FC236}">
                <a16:creationId xmlns:a16="http://schemas.microsoft.com/office/drawing/2014/main" id="{A0E5689D-85FA-B170-C756-7C9E8DFEFEB6}"/>
              </a:ext>
            </a:extLst>
          </xdr:cNvPr>
          <xdr:cNvCxnSpPr/>
        </xdr:nvCxnSpPr>
        <xdr:spPr>
          <a:xfrm>
            <a:off x="11182350" y="3095625"/>
            <a:ext cx="161926" cy="371475"/>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TextBox 16">
            <a:extLst>
              <a:ext uri="{FF2B5EF4-FFF2-40B4-BE49-F238E27FC236}">
                <a16:creationId xmlns:a16="http://schemas.microsoft.com/office/drawing/2014/main" id="{6BCB582C-6C8D-1603-2831-7BDF38680C3C}"/>
              </a:ext>
            </a:extLst>
          </xdr:cNvPr>
          <xdr:cNvSpPr txBox="1"/>
        </xdr:nvSpPr>
        <xdr:spPr>
          <a:xfrm>
            <a:off x="10782300" y="2695574"/>
            <a:ext cx="1038225" cy="504826"/>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200"/>
                </a:solidFill>
              </a:rPr>
              <a:t>Ribbon</a:t>
            </a:r>
            <a:r>
              <a:rPr lang="en-US" sz="1100" baseline="0">
                <a:solidFill>
                  <a:srgbClr val="E63200"/>
                </a:solidFill>
              </a:rPr>
              <a:t> Options</a:t>
            </a:r>
            <a:endParaRPr lang="en-GH" sz="1100">
              <a:solidFill>
                <a:srgbClr val="E63200"/>
              </a:solidFill>
            </a:endParaRPr>
          </a:p>
        </xdr:txBody>
      </xdr:sp>
      <xdr:cxnSp macro="">
        <xdr:nvCxnSpPr>
          <xdr:cNvPr id="18" name="Straight Arrow Connector 17">
            <a:extLst>
              <a:ext uri="{FF2B5EF4-FFF2-40B4-BE49-F238E27FC236}">
                <a16:creationId xmlns:a16="http://schemas.microsoft.com/office/drawing/2014/main" id="{6AAAE1B7-04EF-8555-AE86-0F0B01C2B058}"/>
              </a:ext>
            </a:extLst>
          </xdr:cNvPr>
          <xdr:cNvCxnSpPr/>
        </xdr:nvCxnSpPr>
        <xdr:spPr>
          <a:xfrm flipH="1">
            <a:off x="11982451" y="3162300"/>
            <a:ext cx="9524" cy="304800"/>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TextBox 18">
            <a:extLst>
              <a:ext uri="{FF2B5EF4-FFF2-40B4-BE49-F238E27FC236}">
                <a16:creationId xmlns:a16="http://schemas.microsoft.com/office/drawing/2014/main" id="{561928A5-94B3-73CE-C580-2D53DFB5325E}"/>
              </a:ext>
            </a:extLst>
          </xdr:cNvPr>
          <xdr:cNvSpPr txBox="1"/>
        </xdr:nvSpPr>
        <xdr:spPr>
          <a:xfrm>
            <a:off x="11525251" y="2495550"/>
            <a:ext cx="1009650" cy="676275"/>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rgbClr val="E63200"/>
                </a:solidFill>
              </a:rPr>
              <a:t>Excel Windows Controls</a:t>
            </a:r>
            <a:endParaRPr lang="en-GH" sz="1100">
              <a:solidFill>
                <a:srgbClr val="E63200"/>
              </a:solidFill>
            </a:endParaRPr>
          </a:p>
        </xdr:txBody>
      </xdr:sp>
      <xdr:cxnSp macro="">
        <xdr:nvCxnSpPr>
          <xdr:cNvPr id="20" name="Straight Arrow Connector 19">
            <a:extLst>
              <a:ext uri="{FF2B5EF4-FFF2-40B4-BE49-F238E27FC236}">
                <a16:creationId xmlns:a16="http://schemas.microsoft.com/office/drawing/2014/main" id="{1AAB9CEF-CF3D-503C-8F14-B2789BEDCB9B}"/>
              </a:ext>
            </a:extLst>
          </xdr:cNvPr>
          <xdr:cNvCxnSpPr/>
        </xdr:nvCxnSpPr>
        <xdr:spPr>
          <a:xfrm>
            <a:off x="10467975" y="3238500"/>
            <a:ext cx="142876" cy="257175"/>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 name="TextBox 20">
            <a:extLst>
              <a:ext uri="{FF2B5EF4-FFF2-40B4-BE49-F238E27FC236}">
                <a16:creationId xmlns:a16="http://schemas.microsoft.com/office/drawing/2014/main" id="{EB0137AD-C41E-5BCF-6829-944A08957CD9}"/>
              </a:ext>
            </a:extLst>
          </xdr:cNvPr>
          <xdr:cNvSpPr txBox="1"/>
        </xdr:nvSpPr>
        <xdr:spPr>
          <a:xfrm>
            <a:off x="10067925" y="2981325"/>
            <a:ext cx="1038225" cy="40005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200"/>
                </a:solidFill>
              </a:rPr>
              <a:t>Sign</a:t>
            </a:r>
            <a:r>
              <a:rPr lang="en-US" sz="1100" baseline="0">
                <a:solidFill>
                  <a:srgbClr val="E63200"/>
                </a:solidFill>
              </a:rPr>
              <a:t> in</a:t>
            </a:r>
            <a:endParaRPr lang="en-GH" sz="1100">
              <a:solidFill>
                <a:srgbClr val="E63200"/>
              </a:solidFill>
            </a:endParaRPr>
          </a:p>
        </xdr:txBody>
      </xdr:sp>
      <xdr:cxnSp macro="">
        <xdr:nvCxnSpPr>
          <xdr:cNvPr id="22" name="Straight Arrow Connector 21">
            <a:extLst>
              <a:ext uri="{FF2B5EF4-FFF2-40B4-BE49-F238E27FC236}">
                <a16:creationId xmlns:a16="http://schemas.microsoft.com/office/drawing/2014/main" id="{E2CD1730-8CDF-9142-A312-6AA9E3A97760}"/>
              </a:ext>
            </a:extLst>
          </xdr:cNvPr>
          <xdr:cNvCxnSpPr/>
        </xdr:nvCxnSpPr>
        <xdr:spPr>
          <a:xfrm>
            <a:off x="9048750" y="3086100"/>
            <a:ext cx="9526" cy="295275"/>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 name="TextBox 22">
            <a:extLst>
              <a:ext uri="{FF2B5EF4-FFF2-40B4-BE49-F238E27FC236}">
                <a16:creationId xmlns:a16="http://schemas.microsoft.com/office/drawing/2014/main" id="{7E07666D-BD94-81BF-4858-2E414DBEC5EB}"/>
              </a:ext>
            </a:extLst>
          </xdr:cNvPr>
          <xdr:cNvSpPr txBox="1"/>
        </xdr:nvSpPr>
        <xdr:spPr>
          <a:xfrm>
            <a:off x="8610600" y="2800350"/>
            <a:ext cx="1038225" cy="40005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200"/>
                </a:solidFill>
              </a:rPr>
              <a:t>Seach</a:t>
            </a:r>
            <a:r>
              <a:rPr lang="en-US" sz="1100" baseline="0">
                <a:solidFill>
                  <a:srgbClr val="E63200"/>
                </a:solidFill>
              </a:rPr>
              <a:t> bar</a:t>
            </a:r>
            <a:endParaRPr lang="en-GH" sz="1100">
              <a:solidFill>
                <a:srgbClr val="E63200"/>
              </a:solidFill>
            </a:endParaRPr>
          </a:p>
        </xdr:txBody>
      </xdr:sp>
      <xdr:sp macro="" textlink="">
        <xdr:nvSpPr>
          <xdr:cNvPr id="24" name="TextBox 23">
            <a:extLst>
              <a:ext uri="{FF2B5EF4-FFF2-40B4-BE49-F238E27FC236}">
                <a16:creationId xmlns:a16="http://schemas.microsoft.com/office/drawing/2014/main" id="{104B2FAB-CB3D-D7CB-A798-6010337DC3C3}"/>
              </a:ext>
            </a:extLst>
          </xdr:cNvPr>
          <xdr:cNvSpPr txBox="1"/>
        </xdr:nvSpPr>
        <xdr:spPr>
          <a:xfrm>
            <a:off x="11572875" y="3467100"/>
            <a:ext cx="838200" cy="180976"/>
          </a:xfrm>
          <a:prstGeom prst="rect">
            <a:avLst/>
          </a:prstGeom>
          <a:noFill/>
          <a:ln w="19050" cmpd="sng">
            <a:solidFill>
              <a:srgbClr val="E632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H" sz="1100"/>
          </a:p>
        </xdr:txBody>
      </xdr:sp>
      <xdr:cxnSp macro="">
        <xdr:nvCxnSpPr>
          <xdr:cNvPr id="25" name="Straight Arrow Connector 24">
            <a:extLst>
              <a:ext uri="{FF2B5EF4-FFF2-40B4-BE49-F238E27FC236}">
                <a16:creationId xmlns:a16="http://schemas.microsoft.com/office/drawing/2014/main" id="{C06295C1-3FE4-0735-77A4-1A1E74ECBF5F}"/>
              </a:ext>
            </a:extLst>
          </xdr:cNvPr>
          <xdr:cNvCxnSpPr/>
        </xdr:nvCxnSpPr>
        <xdr:spPr>
          <a:xfrm>
            <a:off x="3914776" y="3152775"/>
            <a:ext cx="133350" cy="285750"/>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a16="http://schemas.microsoft.com/office/drawing/2014/main" id="{6D9DA1E0-A6F1-F2DD-791C-16890F18AFBF}"/>
              </a:ext>
            </a:extLst>
          </xdr:cNvPr>
          <xdr:cNvSpPr txBox="1"/>
        </xdr:nvSpPr>
        <xdr:spPr>
          <a:xfrm>
            <a:off x="3314701" y="2733676"/>
            <a:ext cx="1009650" cy="49530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rgbClr val="E63200"/>
                </a:solidFill>
              </a:rPr>
              <a:t>Quick</a:t>
            </a:r>
            <a:r>
              <a:rPr lang="en-US" sz="1100" baseline="0">
                <a:solidFill>
                  <a:srgbClr val="E63200"/>
                </a:solidFill>
              </a:rPr>
              <a:t> Acces Toolbar</a:t>
            </a:r>
            <a:endParaRPr lang="en-GH" sz="1100">
              <a:solidFill>
                <a:srgbClr val="E63200"/>
              </a:solidFill>
            </a:endParaRPr>
          </a:p>
        </xdr:txBody>
      </xdr:sp>
      <xdr:sp macro="" textlink="">
        <xdr:nvSpPr>
          <xdr:cNvPr id="27" name="TextBox 26">
            <a:extLst>
              <a:ext uri="{FF2B5EF4-FFF2-40B4-BE49-F238E27FC236}">
                <a16:creationId xmlns:a16="http://schemas.microsoft.com/office/drawing/2014/main" id="{F0D4D0FB-4BD4-AA6C-1193-4D9052813E3A}"/>
              </a:ext>
            </a:extLst>
          </xdr:cNvPr>
          <xdr:cNvSpPr txBox="1"/>
        </xdr:nvSpPr>
        <xdr:spPr>
          <a:xfrm>
            <a:off x="3248024" y="3457575"/>
            <a:ext cx="1971675" cy="190500"/>
          </a:xfrm>
          <a:prstGeom prst="rect">
            <a:avLst/>
          </a:prstGeom>
          <a:noFill/>
          <a:ln w="19050" cmpd="sng">
            <a:solidFill>
              <a:srgbClr val="E632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H" sz="1100"/>
          </a:p>
        </xdr:txBody>
      </xdr:sp>
      <xdr:cxnSp macro="">
        <xdr:nvCxnSpPr>
          <xdr:cNvPr id="28" name="Straight Arrow Connector 27">
            <a:extLst>
              <a:ext uri="{FF2B5EF4-FFF2-40B4-BE49-F238E27FC236}">
                <a16:creationId xmlns:a16="http://schemas.microsoft.com/office/drawing/2014/main" id="{85633AA2-8B30-4BCE-B877-5A4186E5EB97}"/>
              </a:ext>
            </a:extLst>
          </xdr:cNvPr>
          <xdr:cNvCxnSpPr/>
        </xdr:nvCxnSpPr>
        <xdr:spPr>
          <a:xfrm flipV="1">
            <a:off x="12153900" y="4591051"/>
            <a:ext cx="133350" cy="304799"/>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TextBox 28">
            <a:extLst>
              <a:ext uri="{FF2B5EF4-FFF2-40B4-BE49-F238E27FC236}">
                <a16:creationId xmlns:a16="http://schemas.microsoft.com/office/drawing/2014/main" id="{D499E62A-5E08-341E-D00D-931529D17452}"/>
              </a:ext>
            </a:extLst>
          </xdr:cNvPr>
          <xdr:cNvSpPr txBox="1"/>
        </xdr:nvSpPr>
        <xdr:spPr>
          <a:xfrm>
            <a:off x="11639550" y="4819650"/>
            <a:ext cx="923925" cy="49530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rgbClr val="E63200"/>
                </a:solidFill>
              </a:rPr>
              <a:t>Ribbon Collapse</a:t>
            </a:r>
            <a:endParaRPr lang="en-GH" sz="1100">
              <a:solidFill>
                <a:srgbClr val="E63200"/>
              </a:solidFill>
            </a:endParaRPr>
          </a:p>
        </xdr:txBody>
      </xdr:sp>
    </xdr:grpSp>
    <xdr:clientData/>
  </xdr:twoCellAnchor>
  <xdr:twoCellAnchor editAs="absolute">
    <xdr:from>
      <xdr:col>12</xdr:col>
      <xdr:colOff>38099</xdr:colOff>
      <xdr:row>28</xdr:row>
      <xdr:rowOff>114299</xdr:rowOff>
    </xdr:from>
    <xdr:to>
      <xdr:col>14</xdr:col>
      <xdr:colOff>771524</xdr:colOff>
      <xdr:row>40</xdr:row>
      <xdr:rowOff>142874</xdr:rowOff>
    </xdr:to>
    <xdr:pic>
      <xdr:nvPicPr>
        <xdr:cNvPr id="30" name="Picture 29">
          <a:extLst>
            <a:ext uri="{FF2B5EF4-FFF2-40B4-BE49-F238E27FC236}">
              <a16:creationId xmlns:a16="http://schemas.microsoft.com/office/drawing/2014/main" id="{BD6C2488-FC7B-4918-B47F-42CB90F80E4B}"/>
            </a:ext>
          </a:extLst>
        </xdr:cNvPr>
        <xdr:cNvPicPr>
          <a:picLocks noChangeAspect="1"/>
        </xdr:cNvPicPr>
      </xdr:nvPicPr>
      <xdr:blipFill>
        <a:blip xmlns:r="http://schemas.openxmlformats.org/officeDocument/2006/relationships" r:embed="rId2"/>
        <a:stretch>
          <a:fillRect/>
        </a:stretch>
      </xdr:blipFill>
      <xdr:spPr>
        <a:xfrm>
          <a:off x="5534024" y="4686299"/>
          <a:ext cx="1933575" cy="1933575"/>
        </a:xfrm>
        <a:prstGeom prst="rect">
          <a:avLst/>
        </a:prstGeom>
      </xdr:spPr>
    </xdr:pic>
    <xdr:clientData/>
  </xdr:twoCellAnchor>
  <xdr:twoCellAnchor editAs="absolute">
    <xdr:from>
      <xdr:col>10</xdr:col>
      <xdr:colOff>228600</xdr:colOff>
      <xdr:row>35</xdr:row>
      <xdr:rowOff>47627</xdr:rowOff>
    </xdr:from>
    <xdr:to>
      <xdr:col>12</xdr:col>
      <xdr:colOff>0</xdr:colOff>
      <xdr:row>35</xdr:row>
      <xdr:rowOff>47627</xdr:rowOff>
    </xdr:to>
    <xdr:cxnSp macro="">
      <xdr:nvCxnSpPr>
        <xdr:cNvPr id="31" name="Straight Arrow Connector 30">
          <a:extLst>
            <a:ext uri="{FF2B5EF4-FFF2-40B4-BE49-F238E27FC236}">
              <a16:creationId xmlns:a16="http://schemas.microsoft.com/office/drawing/2014/main" id="{D467A93B-EE1C-499C-BC76-718CD859F282}"/>
            </a:ext>
          </a:extLst>
        </xdr:cNvPr>
        <xdr:cNvCxnSpPr/>
      </xdr:nvCxnSpPr>
      <xdr:spPr>
        <a:xfrm>
          <a:off x="4733925" y="5724527"/>
          <a:ext cx="762000" cy="0"/>
        </a:xfrm>
        <a:prstGeom prst="straightConnector1">
          <a:avLst/>
        </a:prstGeom>
        <a:ln w="19050">
          <a:solidFill>
            <a:srgbClr val="E632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257174</xdr:colOff>
      <xdr:row>41</xdr:row>
      <xdr:rowOff>57150</xdr:rowOff>
    </xdr:from>
    <xdr:to>
      <xdr:col>17</xdr:col>
      <xdr:colOff>769897</xdr:colOff>
      <xdr:row>62</xdr:row>
      <xdr:rowOff>0</xdr:rowOff>
    </xdr:to>
    <xdr:grpSp>
      <xdr:nvGrpSpPr>
        <xdr:cNvPr id="32" name="Group 31">
          <a:extLst>
            <a:ext uri="{FF2B5EF4-FFF2-40B4-BE49-F238E27FC236}">
              <a16:creationId xmlns:a16="http://schemas.microsoft.com/office/drawing/2014/main" id="{19573507-3EE5-4FB4-A392-28F117590BCF}"/>
            </a:ext>
          </a:extLst>
        </xdr:cNvPr>
        <xdr:cNvGrpSpPr/>
      </xdr:nvGrpSpPr>
      <xdr:grpSpPr>
        <a:xfrm>
          <a:off x="4987924" y="7512050"/>
          <a:ext cx="7535823" cy="3727450"/>
          <a:chOff x="2019301" y="190500"/>
          <a:chExt cx="7551698" cy="3810000"/>
        </a:xfrm>
      </xdr:grpSpPr>
      <xdr:sp macro="" textlink="">
        <xdr:nvSpPr>
          <xdr:cNvPr id="33" name="TextBox 32">
            <a:extLst>
              <a:ext uri="{FF2B5EF4-FFF2-40B4-BE49-F238E27FC236}">
                <a16:creationId xmlns:a16="http://schemas.microsoft.com/office/drawing/2014/main" id="{1958C1B4-61F7-E275-756B-31079FC9B644}"/>
              </a:ext>
            </a:extLst>
          </xdr:cNvPr>
          <xdr:cNvSpPr txBox="1"/>
        </xdr:nvSpPr>
        <xdr:spPr>
          <a:xfrm>
            <a:off x="5819775" y="190500"/>
            <a:ext cx="1209675" cy="400050"/>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200"/>
                </a:solidFill>
              </a:rPr>
              <a:t>Column</a:t>
            </a:r>
            <a:r>
              <a:rPr lang="en-US" sz="1100" baseline="0">
                <a:solidFill>
                  <a:srgbClr val="E63200"/>
                </a:solidFill>
              </a:rPr>
              <a:t> Headers</a:t>
            </a:r>
          </a:p>
          <a:p>
            <a:endParaRPr lang="en-GH" sz="1100">
              <a:solidFill>
                <a:srgbClr val="E63200"/>
              </a:solidFill>
            </a:endParaRPr>
          </a:p>
        </xdr:txBody>
      </xdr:sp>
      <xdr:sp macro="" textlink="">
        <xdr:nvSpPr>
          <xdr:cNvPr id="34" name="TextBox 33">
            <a:extLst>
              <a:ext uri="{FF2B5EF4-FFF2-40B4-BE49-F238E27FC236}">
                <a16:creationId xmlns:a16="http://schemas.microsoft.com/office/drawing/2014/main" id="{43531455-85FF-22BC-1419-067FD06B13B8}"/>
              </a:ext>
            </a:extLst>
          </xdr:cNvPr>
          <xdr:cNvSpPr txBox="1"/>
        </xdr:nvSpPr>
        <xdr:spPr>
          <a:xfrm>
            <a:off x="2019301" y="1781174"/>
            <a:ext cx="895350" cy="622649"/>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solidFill>
                  <a:srgbClr val="E63200"/>
                </a:solidFill>
              </a:rPr>
              <a:t>Row Headers</a:t>
            </a:r>
          </a:p>
          <a:p>
            <a:pPr algn="ctr"/>
            <a:endParaRPr lang="en-GH" sz="1100">
              <a:solidFill>
                <a:srgbClr val="E63200"/>
              </a:solidFill>
            </a:endParaRPr>
          </a:p>
        </xdr:txBody>
      </xdr:sp>
      <xdr:pic>
        <xdr:nvPicPr>
          <xdr:cNvPr id="35" name="Picture 34">
            <a:extLst>
              <a:ext uri="{FF2B5EF4-FFF2-40B4-BE49-F238E27FC236}">
                <a16:creationId xmlns:a16="http://schemas.microsoft.com/office/drawing/2014/main" id="{F19C72F7-96B0-923D-8BE3-63932E552D22}"/>
              </a:ext>
            </a:extLst>
          </xdr:cNvPr>
          <xdr:cNvPicPr>
            <a:picLocks noChangeAspect="1"/>
          </xdr:cNvPicPr>
        </xdr:nvPicPr>
        <xdr:blipFill>
          <a:blip xmlns:r="http://schemas.openxmlformats.org/officeDocument/2006/relationships" r:embed="rId3"/>
          <a:stretch>
            <a:fillRect/>
          </a:stretch>
        </xdr:blipFill>
        <xdr:spPr>
          <a:xfrm>
            <a:off x="3082559" y="581025"/>
            <a:ext cx="6488440" cy="2875829"/>
          </a:xfrm>
          <a:prstGeom prst="rect">
            <a:avLst/>
          </a:prstGeom>
        </xdr:spPr>
      </xdr:pic>
      <xdr:cxnSp macro="">
        <xdr:nvCxnSpPr>
          <xdr:cNvPr id="36" name="Straight Arrow Connector 35">
            <a:extLst>
              <a:ext uri="{FF2B5EF4-FFF2-40B4-BE49-F238E27FC236}">
                <a16:creationId xmlns:a16="http://schemas.microsoft.com/office/drawing/2014/main" id="{A44D3BFB-02B0-7A47-D77C-09636702624D}"/>
              </a:ext>
            </a:extLst>
          </xdr:cNvPr>
          <xdr:cNvCxnSpPr>
            <a:stCxn id="38" idx="2"/>
          </xdr:cNvCxnSpPr>
        </xdr:nvCxnSpPr>
        <xdr:spPr>
          <a:xfrm>
            <a:off x="6091238" y="2447870"/>
            <a:ext cx="14288" cy="600131"/>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7" name="Straight Arrow Connector 36">
            <a:extLst>
              <a:ext uri="{FF2B5EF4-FFF2-40B4-BE49-F238E27FC236}">
                <a16:creationId xmlns:a16="http://schemas.microsoft.com/office/drawing/2014/main" id="{E8100969-9657-6558-3136-3BFD3BA6C9A8}"/>
              </a:ext>
            </a:extLst>
          </xdr:cNvPr>
          <xdr:cNvCxnSpPr>
            <a:stCxn id="44" idx="0"/>
          </xdr:cNvCxnSpPr>
        </xdr:nvCxnSpPr>
        <xdr:spPr>
          <a:xfrm flipV="1">
            <a:off x="5000625" y="3390901"/>
            <a:ext cx="0" cy="257174"/>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a:extLst>
              <a:ext uri="{FF2B5EF4-FFF2-40B4-BE49-F238E27FC236}">
                <a16:creationId xmlns:a16="http://schemas.microsoft.com/office/drawing/2014/main" id="{1A3DCE4C-3994-DCCD-4967-D568311C8457}"/>
              </a:ext>
            </a:extLst>
          </xdr:cNvPr>
          <xdr:cNvSpPr txBox="1"/>
        </xdr:nvSpPr>
        <xdr:spPr>
          <a:xfrm>
            <a:off x="5553075" y="1904999"/>
            <a:ext cx="1076325" cy="542871"/>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rgbClr val="E63200"/>
                </a:solidFill>
              </a:rPr>
              <a:t>Exce</a:t>
            </a:r>
            <a:r>
              <a:rPr lang="en-US" sz="1100" baseline="0">
                <a:solidFill>
                  <a:srgbClr val="E63200"/>
                </a:solidFill>
              </a:rPr>
              <a:t>l </a:t>
            </a:r>
            <a:r>
              <a:rPr lang="en-US" sz="1100">
                <a:solidFill>
                  <a:srgbClr val="E63200"/>
                </a:solidFill>
              </a:rPr>
              <a:t>Window Work Area</a:t>
            </a:r>
            <a:endParaRPr lang="en-GH" sz="1100">
              <a:solidFill>
                <a:srgbClr val="E63200"/>
              </a:solidFill>
            </a:endParaRPr>
          </a:p>
        </xdr:txBody>
      </xdr:sp>
      <xdr:sp macro="" textlink="">
        <xdr:nvSpPr>
          <xdr:cNvPr id="39" name="Left Brace 38">
            <a:extLst>
              <a:ext uri="{FF2B5EF4-FFF2-40B4-BE49-F238E27FC236}">
                <a16:creationId xmlns:a16="http://schemas.microsoft.com/office/drawing/2014/main" id="{69B3A12E-A54B-9346-EAC7-1049278799F0}"/>
              </a:ext>
            </a:extLst>
          </xdr:cNvPr>
          <xdr:cNvSpPr/>
        </xdr:nvSpPr>
        <xdr:spPr>
          <a:xfrm>
            <a:off x="2905125" y="895350"/>
            <a:ext cx="133350" cy="2295525"/>
          </a:xfrm>
          <a:prstGeom prst="leftBrace">
            <a:avLst>
              <a:gd name="adj1" fmla="val 161486"/>
              <a:gd name="adj2" fmla="val 49585"/>
            </a:avLst>
          </a:prstGeom>
          <a:ln w="19050">
            <a:solidFill>
              <a:srgbClr val="E632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H" sz="1100"/>
          </a:p>
        </xdr:txBody>
      </xdr:sp>
      <xdr:sp macro="" textlink="">
        <xdr:nvSpPr>
          <xdr:cNvPr id="40" name="Left Brace 39">
            <a:extLst>
              <a:ext uri="{FF2B5EF4-FFF2-40B4-BE49-F238E27FC236}">
                <a16:creationId xmlns:a16="http://schemas.microsoft.com/office/drawing/2014/main" id="{5E9F0762-999D-C472-0468-C3DEAC7BF3D1}"/>
              </a:ext>
            </a:extLst>
          </xdr:cNvPr>
          <xdr:cNvSpPr/>
        </xdr:nvSpPr>
        <xdr:spPr>
          <a:xfrm rot="5400000">
            <a:off x="6226967" y="-2336006"/>
            <a:ext cx="219075" cy="5995987"/>
          </a:xfrm>
          <a:prstGeom prst="leftBrace">
            <a:avLst>
              <a:gd name="adj1" fmla="val 161486"/>
              <a:gd name="adj2" fmla="val 49585"/>
            </a:avLst>
          </a:prstGeom>
          <a:ln w="19050">
            <a:solidFill>
              <a:srgbClr val="E632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H" sz="1100"/>
          </a:p>
        </xdr:txBody>
      </xdr:sp>
      <xdr:cxnSp macro="">
        <xdr:nvCxnSpPr>
          <xdr:cNvPr id="41" name="Straight Arrow Connector 40">
            <a:extLst>
              <a:ext uri="{FF2B5EF4-FFF2-40B4-BE49-F238E27FC236}">
                <a16:creationId xmlns:a16="http://schemas.microsoft.com/office/drawing/2014/main" id="{30359DE8-47FD-D39A-FA6C-48C5E157A7E4}"/>
              </a:ext>
            </a:extLst>
          </xdr:cNvPr>
          <xdr:cNvCxnSpPr/>
        </xdr:nvCxnSpPr>
        <xdr:spPr>
          <a:xfrm flipH="1">
            <a:off x="3733800" y="2124075"/>
            <a:ext cx="1838326" cy="0"/>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a16="http://schemas.microsoft.com/office/drawing/2014/main" id="{A3AB2DA1-D201-380B-1CDE-4806B234EE31}"/>
              </a:ext>
            </a:extLst>
          </xdr:cNvPr>
          <xdr:cNvCxnSpPr/>
        </xdr:nvCxnSpPr>
        <xdr:spPr>
          <a:xfrm flipV="1">
            <a:off x="6105525" y="1066800"/>
            <a:ext cx="0" cy="876300"/>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a16="http://schemas.microsoft.com/office/drawing/2014/main" id="{E2E3F0AB-2D2D-C371-CCE8-3C1E1FAE2816}"/>
              </a:ext>
            </a:extLst>
          </xdr:cNvPr>
          <xdr:cNvCxnSpPr>
            <a:stCxn id="38" idx="3"/>
          </xdr:cNvCxnSpPr>
        </xdr:nvCxnSpPr>
        <xdr:spPr>
          <a:xfrm flipV="1">
            <a:off x="6629401" y="2133601"/>
            <a:ext cx="1905000" cy="42835"/>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4" name="TextBox 43">
            <a:extLst>
              <a:ext uri="{FF2B5EF4-FFF2-40B4-BE49-F238E27FC236}">
                <a16:creationId xmlns:a16="http://schemas.microsoft.com/office/drawing/2014/main" id="{2BE198A8-A40B-518A-058A-28BD73904A7B}"/>
              </a:ext>
            </a:extLst>
          </xdr:cNvPr>
          <xdr:cNvSpPr txBox="1"/>
        </xdr:nvSpPr>
        <xdr:spPr>
          <a:xfrm>
            <a:off x="4181475" y="3648075"/>
            <a:ext cx="1638300" cy="352425"/>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rgbClr val="E63200"/>
                </a:solidFill>
              </a:rPr>
              <a:t>Worksheet Tab</a:t>
            </a:r>
            <a:endParaRPr lang="en-GH" sz="1100">
              <a:solidFill>
                <a:srgbClr val="E63200"/>
              </a:solidFill>
            </a:endParaRPr>
          </a:p>
        </xdr:txBody>
      </xdr:sp>
      <xdr:sp macro="" textlink="">
        <xdr:nvSpPr>
          <xdr:cNvPr id="45" name="TextBox 44">
            <a:extLst>
              <a:ext uri="{FF2B5EF4-FFF2-40B4-BE49-F238E27FC236}">
                <a16:creationId xmlns:a16="http://schemas.microsoft.com/office/drawing/2014/main" id="{BAB6F96B-F7EB-C46D-630E-32FB33FC8FA5}"/>
              </a:ext>
            </a:extLst>
          </xdr:cNvPr>
          <xdr:cNvSpPr txBox="1"/>
        </xdr:nvSpPr>
        <xdr:spPr>
          <a:xfrm>
            <a:off x="3543300" y="3181349"/>
            <a:ext cx="2981325" cy="200025"/>
          </a:xfrm>
          <a:prstGeom prst="rect">
            <a:avLst/>
          </a:prstGeom>
          <a:noFill/>
          <a:ln w="19050" cmpd="sng">
            <a:solidFill>
              <a:srgbClr val="E632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H" sz="1100">
              <a:solidFill>
                <a:srgbClr val="E63200"/>
              </a:solidFill>
            </a:endParaRPr>
          </a:p>
        </xdr:txBody>
      </xdr:sp>
      <xdr:sp macro="" textlink="">
        <xdr:nvSpPr>
          <xdr:cNvPr id="46" name="TextBox 45">
            <a:extLst>
              <a:ext uri="{FF2B5EF4-FFF2-40B4-BE49-F238E27FC236}">
                <a16:creationId xmlns:a16="http://schemas.microsoft.com/office/drawing/2014/main" id="{B78ECF47-B87E-A221-332A-5704FFC2D488}"/>
              </a:ext>
            </a:extLst>
          </xdr:cNvPr>
          <xdr:cNvSpPr txBox="1"/>
        </xdr:nvSpPr>
        <xdr:spPr>
          <a:xfrm>
            <a:off x="3124199" y="3200400"/>
            <a:ext cx="361951" cy="161925"/>
          </a:xfrm>
          <a:prstGeom prst="rect">
            <a:avLst/>
          </a:prstGeom>
          <a:noFill/>
          <a:ln w="19050" cmpd="sng">
            <a:solidFill>
              <a:srgbClr val="E63200"/>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H" sz="1100">
              <a:solidFill>
                <a:srgbClr val="E63200"/>
              </a:solidFill>
            </a:endParaRPr>
          </a:p>
        </xdr:txBody>
      </xdr:sp>
      <xdr:sp macro="" textlink="">
        <xdr:nvSpPr>
          <xdr:cNvPr id="47" name="TextBox 46">
            <a:extLst>
              <a:ext uri="{FF2B5EF4-FFF2-40B4-BE49-F238E27FC236}">
                <a16:creationId xmlns:a16="http://schemas.microsoft.com/office/drawing/2014/main" id="{82C59CFA-383F-6B86-7822-1FC20BCAE0AE}"/>
              </a:ext>
            </a:extLst>
          </xdr:cNvPr>
          <xdr:cNvSpPr txBox="1"/>
        </xdr:nvSpPr>
        <xdr:spPr>
          <a:xfrm>
            <a:off x="3114675" y="2476499"/>
            <a:ext cx="1038225" cy="542925"/>
          </a:xfrm>
          <a:prstGeom prst="rect">
            <a:avLst/>
          </a:prstGeom>
          <a:noFill/>
          <a:ln w="19050" cmpd="sng">
            <a:no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rgbClr val="E63200"/>
                </a:solidFill>
              </a:rPr>
              <a:t>Worksheet</a:t>
            </a:r>
            <a:r>
              <a:rPr lang="en-US" sz="1100" baseline="0">
                <a:solidFill>
                  <a:srgbClr val="E63200"/>
                </a:solidFill>
              </a:rPr>
              <a:t> Tab Scroll</a:t>
            </a:r>
            <a:endParaRPr lang="en-GH" sz="1100">
              <a:solidFill>
                <a:srgbClr val="E63200"/>
              </a:solidFill>
            </a:endParaRPr>
          </a:p>
        </xdr:txBody>
      </xdr:sp>
      <xdr:cxnSp macro="">
        <xdr:nvCxnSpPr>
          <xdr:cNvPr id="48" name="Straight Arrow Connector 47">
            <a:extLst>
              <a:ext uri="{FF2B5EF4-FFF2-40B4-BE49-F238E27FC236}">
                <a16:creationId xmlns:a16="http://schemas.microsoft.com/office/drawing/2014/main" id="{DE4C07AA-3DED-3782-B7B1-745E886F888E}"/>
              </a:ext>
            </a:extLst>
          </xdr:cNvPr>
          <xdr:cNvCxnSpPr/>
        </xdr:nvCxnSpPr>
        <xdr:spPr>
          <a:xfrm flipH="1">
            <a:off x="3343275" y="2895600"/>
            <a:ext cx="190501" cy="285750"/>
          </a:xfrm>
          <a:prstGeom prst="straightConnector1">
            <a:avLst/>
          </a:prstGeom>
          <a:ln w="19050">
            <a:solidFill>
              <a:srgbClr val="FF4646"/>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5</xdr:col>
      <xdr:colOff>114300</xdr:colOff>
      <xdr:row>102</xdr:row>
      <xdr:rowOff>99861</xdr:rowOff>
    </xdr:from>
    <xdr:to>
      <xdr:col>14</xdr:col>
      <xdr:colOff>1374107</xdr:colOff>
      <xdr:row>108</xdr:row>
      <xdr:rowOff>9525</xdr:rowOff>
    </xdr:to>
    <xdr:grpSp>
      <xdr:nvGrpSpPr>
        <xdr:cNvPr id="49" name="Group 48">
          <a:extLst>
            <a:ext uri="{FF2B5EF4-FFF2-40B4-BE49-F238E27FC236}">
              <a16:creationId xmlns:a16="http://schemas.microsoft.com/office/drawing/2014/main" id="{16DD41E7-4758-4085-AE8F-B15E37A168DC}"/>
            </a:ext>
          </a:extLst>
        </xdr:cNvPr>
        <xdr:cNvGrpSpPr/>
      </xdr:nvGrpSpPr>
      <xdr:grpSpPr>
        <a:xfrm>
          <a:off x="2686050" y="18464061"/>
          <a:ext cx="5711157" cy="976464"/>
          <a:chOff x="2609850" y="17835411"/>
          <a:chExt cx="5507957" cy="824064"/>
        </a:xfrm>
      </xdr:grpSpPr>
      <xdr:pic>
        <xdr:nvPicPr>
          <xdr:cNvPr id="50" name="Picture 49">
            <a:extLst>
              <a:ext uri="{FF2B5EF4-FFF2-40B4-BE49-F238E27FC236}">
                <a16:creationId xmlns:a16="http://schemas.microsoft.com/office/drawing/2014/main" id="{FC73236B-D4B6-F061-F262-2D1064C58B2C}"/>
              </a:ext>
            </a:extLst>
          </xdr:cNvPr>
          <xdr:cNvPicPr>
            <a:picLocks noChangeAspect="1"/>
          </xdr:cNvPicPr>
        </xdr:nvPicPr>
        <xdr:blipFill>
          <a:blip xmlns:r="http://schemas.openxmlformats.org/officeDocument/2006/relationships" r:embed="rId4"/>
          <a:stretch>
            <a:fillRect/>
          </a:stretch>
        </xdr:blipFill>
        <xdr:spPr>
          <a:xfrm>
            <a:off x="6200774" y="17835411"/>
            <a:ext cx="1917033" cy="824064"/>
          </a:xfrm>
          <a:prstGeom prst="rect">
            <a:avLst/>
          </a:prstGeom>
        </xdr:spPr>
      </xdr:pic>
      <xdr:cxnSp macro="">
        <xdr:nvCxnSpPr>
          <xdr:cNvPr id="51" name="Straight Arrow Connector 50">
            <a:extLst>
              <a:ext uri="{FF2B5EF4-FFF2-40B4-BE49-F238E27FC236}">
                <a16:creationId xmlns:a16="http://schemas.microsoft.com/office/drawing/2014/main" id="{1D2DBE7E-55F5-6EFC-3EA6-B340B5A8A94C}"/>
              </a:ext>
            </a:extLst>
          </xdr:cNvPr>
          <xdr:cNvCxnSpPr/>
        </xdr:nvCxnSpPr>
        <xdr:spPr>
          <a:xfrm>
            <a:off x="2609850" y="18154650"/>
            <a:ext cx="3609975" cy="0"/>
          </a:xfrm>
          <a:prstGeom prst="straightConnector1">
            <a:avLst/>
          </a:prstGeom>
          <a:ln w="19050">
            <a:solidFill>
              <a:srgbClr val="FF625C"/>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523875</xdr:colOff>
      <xdr:row>113</xdr:row>
      <xdr:rowOff>746</xdr:rowOff>
    </xdr:from>
    <xdr:to>
      <xdr:col>14</xdr:col>
      <xdr:colOff>1656955</xdr:colOff>
      <xdr:row>119</xdr:row>
      <xdr:rowOff>28576</xdr:rowOff>
    </xdr:to>
    <xdr:grpSp>
      <xdr:nvGrpSpPr>
        <xdr:cNvPr id="52" name="Group 51">
          <a:extLst>
            <a:ext uri="{FF2B5EF4-FFF2-40B4-BE49-F238E27FC236}">
              <a16:creationId xmlns:a16="http://schemas.microsoft.com/office/drawing/2014/main" id="{8D30C6C8-87D1-49A5-A9C4-2B66190DE494}"/>
            </a:ext>
          </a:extLst>
        </xdr:cNvPr>
        <xdr:cNvGrpSpPr/>
      </xdr:nvGrpSpPr>
      <xdr:grpSpPr>
        <a:xfrm>
          <a:off x="3267075" y="20346146"/>
          <a:ext cx="5412980" cy="1120030"/>
          <a:chOff x="3133725" y="16193246"/>
          <a:chExt cx="5219305" cy="942230"/>
        </a:xfrm>
      </xdr:grpSpPr>
      <xdr:pic>
        <xdr:nvPicPr>
          <xdr:cNvPr id="53" name="Picture 52">
            <a:extLst>
              <a:ext uri="{FF2B5EF4-FFF2-40B4-BE49-F238E27FC236}">
                <a16:creationId xmlns:a16="http://schemas.microsoft.com/office/drawing/2014/main" id="{3F17E9AB-E7B0-EE2C-0DF4-B8A8AB3E33C2}"/>
              </a:ext>
            </a:extLst>
          </xdr:cNvPr>
          <xdr:cNvPicPr>
            <a:picLocks noChangeAspect="1"/>
          </xdr:cNvPicPr>
        </xdr:nvPicPr>
        <xdr:blipFill rotWithShape="1">
          <a:blip xmlns:r="http://schemas.openxmlformats.org/officeDocument/2006/relationships" r:embed="rId5"/>
          <a:srcRect t="1" b="3871"/>
          <a:stretch/>
        </xdr:blipFill>
        <xdr:spPr>
          <a:xfrm>
            <a:off x="5924550" y="16193246"/>
            <a:ext cx="2428480" cy="942230"/>
          </a:xfrm>
          <a:prstGeom prst="rect">
            <a:avLst/>
          </a:prstGeom>
        </xdr:spPr>
      </xdr:pic>
      <xdr:cxnSp macro="">
        <xdr:nvCxnSpPr>
          <xdr:cNvPr id="54" name="Straight Arrow Connector 53">
            <a:extLst>
              <a:ext uri="{FF2B5EF4-FFF2-40B4-BE49-F238E27FC236}">
                <a16:creationId xmlns:a16="http://schemas.microsoft.com/office/drawing/2014/main" id="{F24EA615-B0A2-1CF4-0EF7-1DF1D021B65C}"/>
              </a:ext>
            </a:extLst>
          </xdr:cNvPr>
          <xdr:cNvCxnSpPr/>
        </xdr:nvCxnSpPr>
        <xdr:spPr>
          <a:xfrm>
            <a:off x="3133725" y="16554450"/>
            <a:ext cx="2800350" cy="0"/>
          </a:xfrm>
          <a:prstGeom prst="straightConnector1">
            <a:avLst/>
          </a:prstGeom>
          <a:ln w="19050">
            <a:solidFill>
              <a:srgbClr val="FF625C"/>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38100</xdr:colOff>
      <xdr:row>120</xdr:row>
      <xdr:rowOff>37545</xdr:rowOff>
    </xdr:from>
    <xdr:to>
      <xdr:col>16</xdr:col>
      <xdr:colOff>609130</xdr:colOff>
      <xdr:row>133</xdr:row>
      <xdr:rowOff>123437</xdr:rowOff>
    </xdr:to>
    <xdr:grpSp>
      <xdr:nvGrpSpPr>
        <xdr:cNvPr id="55" name="Group 54">
          <a:extLst>
            <a:ext uri="{FF2B5EF4-FFF2-40B4-BE49-F238E27FC236}">
              <a16:creationId xmlns:a16="http://schemas.microsoft.com/office/drawing/2014/main" id="{8FCDE5A9-D5AB-4CB5-81E1-74CB3D16941B}"/>
            </a:ext>
          </a:extLst>
        </xdr:cNvPr>
        <xdr:cNvGrpSpPr/>
      </xdr:nvGrpSpPr>
      <xdr:grpSpPr>
        <a:xfrm>
          <a:off x="7061200" y="21652945"/>
          <a:ext cx="3047530" cy="2435392"/>
          <a:chOff x="6591300" y="17706420"/>
          <a:chExt cx="2933230" cy="2067092"/>
        </a:xfrm>
      </xdr:grpSpPr>
      <xdr:pic>
        <xdr:nvPicPr>
          <xdr:cNvPr id="56" name="Picture 55">
            <a:extLst>
              <a:ext uri="{FF2B5EF4-FFF2-40B4-BE49-F238E27FC236}">
                <a16:creationId xmlns:a16="http://schemas.microsoft.com/office/drawing/2014/main" id="{C52152F1-68C7-9DBF-3CE3-FAE8E83DA262}"/>
              </a:ext>
            </a:extLst>
          </xdr:cNvPr>
          <xdr:cNvPicPr>
            <a:picLocks noChangeAspect="1"/>
          </xdr:cNvPicPr>
        </xdr:nvPicPr>
        <xdr:blipFill>
          <a:blip xmlns:r="http://schemas.openxmlformats.org/officeDocument/2006/relationships" r:embed="rId6"/>
          <a:stretch>
            <a:fillRect/>
          </a:stretch>
        </xdr:blipFill>
        <xdr:spPr>
          <a:xfrm>
            <a:off x="7019925" y="17706420"/>
            <a:ext cx="2504605" cy="2067092"/>
          </a:xfrm>
          <a:prstGeom prst="rect">
            <a:avLst/>
          </a:prstGeom>
        </xdr:spPr>
      </xdr:pic>
      <xdr:sp macro="" textlink="">
        <xdr:nvSpPr>
          <xdr:cNvPr id="57" name="Left Brace 56">
            <a:extLst>
              <a:ext uri="{FF2B5EF4-FFF2-40B4-BE49-F238E27FC236}">
                <a16:creationId xmlns:a16="http://schemas.microsoft.com/office/drawing/2014/main" id="{880602DA-E831-4D43-9C45-F223164BC5DC}"/>
              </a:ext>
            </a:extLst>
          </xdr:cNvPr>
          <xdr:cNvSpPr/>
        </xdr:nvSpPr>
        <xdr:spPr>
          <a:xfrm>
            <a:off x="6591300" y="18040350"/>
            <a:ext cx="438150" cy="1485900"/>
          </a:xfrm>
          <a:prstGeom prst="leftBrace">
            <a:avLst>
              <a:gd name="adj1" fmla="val 36274"/>
              <a:gd name="adj2" fmla="val 50000"/>
            </a:avLst>
          </a:prstGeom>
          <a:ln w="19050">
            <a:solidFill>
              <a:srgbClr val="FF464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H" sz="1100"/>
          </a:p>
        </xdr:txBody>
      </xdr:sp>
    </xdr:grpSp>
    <xdr:clientData/>
  </xdr:twoCellAnchor>
  <xdr:oneCellAnchor>
    <xdr:from>
      <xdr:col>1</xdr:col>
      <xdr:colOff>9525</xdr:colOff>
      <xdr:row>1</xdr:row>
      <xdr:rowOff>38100</xdr:rowOff>
    </xdr:from>
    <xdr:ext cx="361950" cy="361950"/>
    <xdr:pic>
      <xdr:nvPicPr>
        <xdr:cNvPr id="58" name="Picture 57">
          <a:extLst>
            <a:ext uri="{FF2B5EF4-FFF2-40B4-BE49-F238E27FC236}">
              <a16:creationId xmlns:a16="http://schemas.microsoft.com/office/drawing/2014/main" id="{01012878-37FF-43EA-A8DD-9EF0C8E78D7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11</xdr:col>
      <xdr:colOff>123826</xdr:colOff>
      <xdr:row>1</xdr:row>
      <xdr:rowOff>49844</xdr:rowOff>
    </xdr:from>
    <xdr:to>
      <xdr:col>14</xdr:col>
      <xdr:colOff>1533526</xdr:colOff>
      <xdr:row>4</xdr:row>
      <xdr:rowOff>123825</xdr:rowOff>
    </xdr:to>
    <xdr:grpSp>
      <xdr:nvGrpSpPr>
        <xdr:cNvPr id="59" name="Group 58">
          <a:hlinkClick xmlns:r="http://schemas.openxmlformats.org/officeDocument/2006/relationships" r:id="rId8" tooltip="Subscribe to our YouTube Channel"/>
          <a:extLst>
            <a:ext uri="{FF2B5EF4-FFF2-40B4-BE49-F238E27FC236}">
              <a16:creationId xmlns:a16="http://schemas.microsoft.com/office/drawing/2014/main" id="{368DD681-5FB4-4E34-AD7D-7693C06ECB65}"/>
            </a:ext>
          </a:extLst>
        </xdr:cNvPr>
        <xdr:cNvGrpSpPr/>
      </xdr:nvGrpSpPr>
      <xdr:grpSpPr>
        <a:xfrm>
          <a:off x="5330826" y="233994"/>
          <a:ext cx="3225800" cy="683581"/>
          <a:chOff x="6877050" y="1735769"/>
          <a:chExt cx="3209925" cy="616906"/>
        </a:xfrm>
      </xdr:grpSpPr>
      <xdr:pic>
        <xdr:nvPicPr>
          <xdr:cNvPr id="60" name="Picture 59">
            <a:extLst>
              <a:ext uri="{FF2B5EF4-FFF2-40B4-BE49-F238E27FC236}">
                <a16:creationId xmlns:a16="http://schemas.microsoft.com/office/drawing/2014/main" id="{444491DA-AC14-3D02-B682-4BD1E185D927}"/>
              </a:ext>
            </a:extLst>
          </xdr:cNvPr>
          <xdr:cNvPicPr>
            <a:picLocks noChangeAspect="1"/>
          </xdr:cNvPicPr>
        </xdr:nvPicPr>
        <xdr:blipFill rotWithShape="1">
          <a:blip xmlns:r="http://schemas.openxmlformats.org/officeDocument/2006/relationships" r:embed="rId9"/>
          <a:srcRect l="21422" r="22564" b="61165"/>
          <a:stretch/>
        </xdr:blipFill>
        <xdr:spPr>
          <a:xfrm>
            <a:off x="6877050" y="1735769"/>
            <a:ext cx="3190875" cy="616906"/>
          </a:xfrm>
          <a:prstGeom prst="roundRect">
            <a:avLst>
              <a:gd name="adj" fmla="val 18431"/>
            </a:avLst>
          </a:prstGeom>
        </xdr:spPr>
      </xdr:pic>
      <xdr:pic>
        <xdr:nvPicPr>
          <xdr:cNvPr id="61" name="Picture 60">
            <a:hlinkClick xmlns:r="http://schemas.openxmlformats.org/officeDocument/2006/relationships" r:id="rId10" tooltip="Subscribe to our YouTube Channel"/>
            <a:extLst>
              <a:ext uri="{FF2B5EF4-FFF2-40B4-BE49-F238E27FC236}">
                <a16:creationId xmlns:a16="http://schemas.microsoft.com/office/drawing/2014/main" id="{27346FCF-DFA7-29C7-0AA8-E10D0746117C}"/>
              </a:ext>
            </a:extLst>
          </xdr:cNvPr>
          <xdr:cNvPicPr>
            <a:picLocks noChangeAspect="1"/>
          </xdr:cNvPicPr>
        </xdr:nvPicPr>
        <xdr:blipFill>
          <a:blip xmlns:r="http://schemas.openxmlformats.org/officeDocument/2006/relationships" r:embed="rId11"/>
          <a:stretch>
            <a:fillRect/>
          </a:stretch>
        </xdr:blipFill>
        <xdr:spPr>
          <a:xfrm>
            <a:off x="8781626" y="1763078"/>
            <a:ext cx="1072787" cy="327858"/>
          </a:xfrm>
          <a:prstGeom prst="roundRect">
            <a:avLst>
              <a:gd name="adj" fmla="val 25491"/>
            </a:avLst>
          </a:prstGeom>
        </xdr:spPr>
      </xdr:pic>
      <xdr:pic>
        <xdr:nvPicPr>
          <xdr:cNvPr id="62" name="Picture 61">
            <a:extLst>
              <a:ext uri="{FF2B5EF4-FFF2-40B4-BE49-F238E27FC236}">
                <a16:creationId xmlns:a16="http://schemas.microsoft.com/office/drawing/2014/main" id="{0CE8232A-E4E5-1080-F03C-81FD36641C71}"/>
              </a:ext>
            </a:extLst>
          </xdr:cNvPr>
          <xdr:cNvPicPr>
            <a:picLocks noChangeAspect="1"/>
          </xdr:cNvPicPr>
        </xdr:nvPicPr>
        <xdr:blipFill>
          <a:blip xmlns:r="http://schemas.openxmlformats.org/officeDocument/2006/relationships" r:embed="rId12"/>
          <a:stretch>
            <a:fillRect/>
          </a:stretch>
        </xdr:blipFill>
        <xdr:spPr>
          <a:xfrm>
            <a:off x="7324725" y="1777199"/>
            <a:ext cx="962025" cy="237126"/>
          </a:xfrm>
          <a:prstGeom prst="roundRect">
            <a:avLst>
              <a:gd name="adj" fmla="val 26144"/>
            </a:avLst>
          </a:prstGeom>
        </xdr:spPr>
      </xdr:pic>
      <xdr:sp macro="" textlink="">
        <xdr:nvSpPr>
          <xdr:cNvPr id="63" name="TextBox 62">
            <a:extLst>
              <a:ext uri="{FF2B5EF4-FFF2-40B4-BE49-F238E27FC236}">
                <a16:creationId xmlns:a16="http://schemas.microsoft.com/office/drawing/2014/main" id="{7738EA95-9F98-4DB1-46CB-43FAA9AC9266}"/>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3</xdr:col>
      <xdr:colOff>38101</xdr:colOff>
      <xdr:row>1</xdr:row>
      <xdr:rowOff>49844</xdr:rowOff>
    </xdr:from>
    <xdr:to>
      <xdr:col>11</xdr:col>
      <xdr:colOff>16799</xdr:colOff>
      <xdr:row>4</xdr:row>
      <xdr:rowOff>123825</xdr:rowOff>
    </xdr:to>
    <xdr:grpSp>
      <xdr:nvGrpSpPr>
        <xdr:cNvPr id="64" name="Group 63">
          <a:hlinkClick xmlns:r="http://schemas.openxmlformats.org/officeDocument/2006/relationships" r:id="rId13" tooltip="Visit our website"/>
          <a:extLst>
            <a:ext uri="{FF2B5EF4-FFF2-40B4-BE49-F238E27FC236}">
              <a16:creationId xmlns:a16="http://schemas.microsoft.com/office/drawing/2014/main" id="{FF5B5067-5B30-4BA5-8D4C-DCF214A46653}"/>
            </a:ext>
          </a:extLst>
        </xdr:cNvPr>
        <xdr:cNvGrpSpPr/>
      </xdr:nvGrpSpPr>
      <xdr:grpSpPr>
        <a:xfrm>
          <a:off x="2266951" y="233994"/>
          <a:ext cx="2956848" cy="683581"/>
          <a:chOff x="3048001" y="334328"/>
          <a:chExt cx="2724150" cy="616906"/>
        </a:xfrm>
      </xdr:grpSpPr>
      <xdr:pic>
        <xdr:nvPicPr>
          <xdr:cNvPr id="65" name="Picture 64">
            <a:extLst>
              <a:ext uri="{FF2B5EF4-FFF2-40B4-BE49-F238E27FC236}">
                <a16:creationId xmlns:a16="http://schemas.microsoft.com/office/drawing/2014/main" id="{EDB43054-4750-7808-28A1-61E8EEE489F1}"/>
              </a:ext>
            </a:extLst>
          </xdr:cNvPr>
          <xdr:cNvPicPr>
            <a:picLocks noChangeAspect="1"/>
          </xdr:cNvPicPr>
        </xdr:nvPicPr>
        <xdr:blipFill rotWithShape="1">
          <a:blip xmlns:r="http://schemas.openxmlformats.org/officeDocument/2006/relationships" r:embed="rId9"/>
          <a:srcRect l="21422" r="22564" b="61165"/>
          <a:stretch/>
        </xdr:blipFill>
        <xdr:spPr>
          <a:xfrm>
            <a:off x="3048001" y="334328"/>
            <a:ext cx="2724150" cy="616906"/>
          </a:xfrm>
          <a:prstGeom prst="roundRect">
            <a:avLst>
              <a:gd name="adj" fmla="val 18431"/>
            </a:avLst>
          </a:prstGeom>
        </xdr:spPr>
      </xdr:pic>
      <xdr:sp macro="" textlink="">
        <xdr:nvSpPr>
          <xdr:cNvPr id="66" name="TextBox 65">
            <a:extLst>
              <a:ext uri="{FF2B5EF4-FFF2-40B4-BE49-F238E27FC236}">
                <a16:creationId xmlns:a16="http://schemas.microsoft.com/office/drawing/2014/main" id="{C553808B-DA94-A350-2EDD-65908412CF13}"/>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67" name="Picture 66">
            <a:extLst>
              <a:ext uri="{FF2B5EF4-FFF2-40B4-BE49-F238E27FC236}">
                <a16:creationId xmlns:a16="http://schemas.microsoft.com/office/drawing/2014/main" id="{80DF132D-0F55-F4A7-2463-9F47E98622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68" name="TextBox 67">
            <a:extLst>
              <a:ext uri="{FF2B5EF4-FFF2-40B4-BE49-F238E27FC236}">
                <a16:creationId xmlns:a16="http://schemas.microsoft.com/office/drawing/2014/main" id="{CC52D987-3720-8721-FCA3-86A9D133986B}"/>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16</xdr:col>
      <xdr:colOff>352425</xdr:colOff>
      <xdr:row>2</xdr:row>
      <xdr:rowOff>57152</xdr:rowOff>
    </xdr:from>
    <xdr:to>
      <xdr:col>16</xdr:col>
      <xdr:colOff>1304919</xdr:colOff>
      <xdr:row>3</xdr:row>
      <xdr:rowOff>143102</xdr:rowOff>
    </xdr:to>
    <xdr:grpSp>
      <xdr:nvGrpSpPr>
        <xdr:cNvPr id="69" name="Group 68">
          <a:hlinkClick xmlns:r="http://schemas.openxmlformats.org/officeDocument/2006/relationships" r:id="rId14" tooltip="Go to Cover page"/>
          <a:extLst>
            <a:ext uri="{FF2B5EF4-FFF2-40B4-BE49-F238E27FC236}">
              <a16:creationId xmlns:a16="http://schemas.microsoft.com/office/drawing/2014/main" id="{0C1673F0-081E-47ED-A867-1D343A03C405}"/>
            </a:ext>
          </a:extLst>
        </xdr:cNvPr>
        <xdr:cNvGrpSpPr/>
      </xdr:nvGrpSpPr>
      <xdr:grpSpPr>
        <a:xfrm>
          <a:off x="9852025" y="444502"/>
          <a:ext cx="952494" cy="289150"/>
          <a:chOff x="3615235" y="2135609"/>
          <a:chExt cx="1011478" cy="463990"/>
        </a:xfrm>
      </xdr:grpSpPr>
      <xdr:sp macro="" textlink="">
        <xdr:nvSpPr>
          <xdr:cNvPr id="70" name="Rectangle 69">
            <a:extLst>
              <a:ext uri="{FF2B5EF4-FFF2-40B4-BE49-F238E27FC236}">
                <a16:creationId xmlns:a16="http://schemas.microsoft.com/office/drawing/2014/main" id="{E51DD3E4-1D9F-0305-AC8B-A622B9B24B42}"/>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71" name="Graphic 3" descr="Back with solid fill">
            <a:extLst>
              <a:ext uri="{FF2B5EF4-FFF2-40B4-BE49-F238E27FC236}">
                <a16:creationId xmlns:a16="http://schemas.microsoft.com/office/drawing/2014/main" id="{7FBB9409-39AA-D121-EA42-2BE6BC8750CD}"/>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72" name="TextBox 71">
            <a:extLst>
              <a:ext uri="{FF2B5EF4-FFF2-40B4-BE49-F238E27FC236}">
                <a16:creationId xmlns:a16="http://schemas.microsoft.com/office/drawing/2014/main" id="{3C2C3C56-55DF-A2A7-C418-59A418D59355}"/>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16</xdr:col>
      <xdr:colOff>2015333</xdr:colOff>
      <xdr:row>2</xdr:row>
      <xdr:rowOff>9527</xdr:rowOff>
    </xdr:from>
    <xdr:to>
      <xdr:col>17</xdr:col>
      <xdr:colOff>451069</xdr:colOff>
      <xdr:row>3</xdr:row>
      <xdr:rowOff>177956</xdr:rowOff>
    </xdr:to>
    <xdr:grpSp>
      <xdr:nvGrpSpPr>
        <xdr:cNvPr id="73" name="Group 72">
          <a:hlinkClick xmlns:r="http://schemas.openxmlformats.org/officeDocument/2006/relationships" r:id="rId15" tooltip="Go to Previous page"/>
          <a:extLst>
            <a:ext uri="{FF2B5EF4-FFF2-40B4-BE49-F238E27FC236}">
              <a16:creationId xmlns:a16="http://schemas.microsoft.com/office/drawing/2014/main" id="{F6716560-1317-4303-92F2-7562C38417B9}"/>
            </a:ext>
          </a:extLst>
        </xdr:cNvPr>
        <xdr:cNvGrpSpPr/>
      </xdr:nvGrpSpPr>
      <xdr:grpSpPr>
        <a:xfrm>
          <a:off x="11514933" y="396877"/>
          <a:ext cx="689986" cy="371629"/>
          <a:chOff x="3207261" y="2135607"/>
          <a:chExt cx="689910" cy="602421"/>
        </a:xfrm>
      </xdr:grpSpPr>
      <xdr:sp macro="" textlink="">
        <xdr:nvSpPr>
          <xdr:cNvPr id="74" name="Rectangle 73">
            <a:extLst>
              <a:ext uri="{FF2B5EF4-FFF2-40B4-BE49-F238E27FC236}">
                <a16:creationId xmlns:a16="http://schemas.microsoft.com/office/drawing/2014/main" id="{9147DCA3-63F9-F823-2616-F54A80AB34C5}"/>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75" name="Graphic 3" descr="Back with solid fill">
            <a:extLst>
              <a:ext uri="{FF2B5EF4-FFF2-40B4-BE49-F238E27FC236}">
                <a16:creationId xmlns:a16="http://schemas.microsoft.com/office/drawing/2014/main" id="{E761D28A-15D0-84A1-4CAF-E54D74041A39}"/>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76" name="TextBox 75">
            <a:extLst>
              <a:ext uri="{FF2B5EF4-FFF2-40B4-BE49-F238E27FC236}">
                <a16:creationId xmlns:a16="http://schemas.microsoft.com/office/drawing/2014/main" id="{4DCB773F-DC72-FADC-5C5E-08DFD47D7E08}"/>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17</xdr:col>
      <xdr:colOff>679199</xdr:colOff>
      <xdr:row>2</xdr:row>
      <xdr:rowOff>9525</xdr:rowOff>
    </xdr:from>
    <xdr:to>
      <xdr:col>17</xdr:col>
      <xdr:colOff>1238244</xdr:colOff>
      <xdr:row>3</xdr:row>
      <xdr:rowOff>177954</xdr:rowOff>
    </xdr:to>
    <xdr:grpSp>
      <xdr:nvGrpSpPr>
        <xdr:cNvPr id="77" name="Group 76">
          <a:hlinkClick xmlns:r="http://schemas.openxmlformats.org/officeDocument/2006/relationships" r:id="rId16" tooltip="Go to Next page"/>
          <a:extLst>
            <a:ext uri="{FF2B5EF4-FFF2-40B4-BE49-F238E27FC236}">
              <a16:creationId xmlns:a16="http://schemas.microsoft.com/office/drawing/2014/main" id="{2B5B7860-A44D-4528-A6B2-70619724CF1F}"/>
            </a:ext>
          </a:extLst>
        </xdr:cNvPr>
        <xdr:cNvGrpSpPr/>
      </xdr:nvGrpSpPr>
      <xdr:grpSpPr>
        <a:xfrm rot="10800000">
          <a:off x="12433049" y="396875"/>
          <a:ext cx="559045" cy="371629"/>
          <a:chOff x="3185180" y="2135611"/>
          <a:chExt cx="648224" cy="602421"/>
        </a:xfrm>
      </xdr:grpSpPr>
      <xdr:sp macro="" textlink="">
        <xdr:nvSpPr>
          <xdr:cNvPr id="78" name="Rectangle 77">
            <a:extLst>
              <a:ext uri="{FF2B5EF4-FFF2-40B4-BE49-F238E27FC236}">
                <a16:creationId xmlns:a16="http://schemas.microsoft.com/office/drawing/2014/main" id="{C2D80315-0E83-0E7C-2C92-2E06A826F349}"/>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79" name="Graphic 3" descr="Back with solid fill">
            <a:extLst>
              <a:ext uri="{FF2B5EF4-FFF2-40B4-BE49-F238E27FC236}">
                <a16:creationId xmlns:a16="http://schemas.microsoft.com/office/drawing/2014/main" id="{0FE21B29-C5CE-9C04-CEDD-2134725A5989}"/>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80" name="TextBox 79">
            <a:extLst>
              <a:ext uri="{FF2B5EF4-FFF2-40B4-BE49-F238E27FC236}">
                <a16:creationId xmlns:a16="http://schemas.microsoft.com/office/drawing/2014/main" id="{508820CB-6511-F7F6-083C-B3042A775297}"/>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16</xdr:col>
      <xdr:colOff>1533048</xdr:colOff>
      <xdr:row>2</xdr:row>
      <xdr:rowOff>54131</xdr:rowOff>
    </xdr:from>
    <xdr:to>
      <xdr:col>16</xdr:col>
      <xdr:colOff>1787204</xdr:colOff>
      <xdr:row>3</xdr:row>
      <xdr:rowOff>115903</xdr:rowOff>
    </xdr:to>
    <xdr:grpSp>
      <xdr:nvGrpSpPr>
        <xdr:cNvPr id="81" name="Group 80">
          <a:hlinkClick xmlns:r="http://schemas.openxmlformats.org/officeDocument/2006/relationships" r:id="rId15" tooltip="Go to Gallery"/>
          <a:extLst>
            <a:ext uri="{FF2B5EF4-FFF2-40B4-BE49-F238E27FC236}">
              <a16:creationId xmlns:a16="http://schemas.microsoft.com/office/drawing/2014/main" id="{84DCF3D9-608C-4554-BED5-FBDBE1F1A876}"/>
            </a:ext>
          </a:extLst>
        </xdr:cNvPr>
        <xdr:cNvGrpSpPr/>
      </xdr:nvGrpSpPr>
      <xdr:grpSpPr>
        <a:xfrm>
          <a:off x="11032648" y="441481"/>
          <a:ext cx="254156" cy="264972"/>
          <a:chOff x="5270413" y="829190"/>
          <a:chExt cx="251434" cy="252272"/>
        </a:xfrm>
      </xdr:grpSpPr>
      <xdr:sp macro="" textlink="">
        <xdr:nvSpPr>
          <xdr:cNvPr id="82" name="Rectangle 81">
            <a:extLst>
              <a:ext uri="{FF2B5EF4-FFF2-40B4-BE49-F238E27FC236}">
                <a16:creationId xmlns:a16="http://schemas.microsoft.com/office/drawing/2014/main" id="{9B3F1198-BEFF-384B-53B6-87CE8D1C5F60}"/>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3" name="Rectangle 82">
            <a:extLst>
              <a:ext uri="{FF2B5EF4-FFF2-40B4-BE49-F238E27FC236}">
                <a16:creationId xmlns:a16="http://schemas.microsoft.com/office/drawing/2014/main" id="{476C4356-6053-DCEA-6BE8-B46E418CD04C}"/>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4" name="Rectangle 83">
            <a:extLst>
              <a:ext uri="{FF2B5EF4-FFF2-40B4-BE49-F238E27FC236}">
                <a16:creationId xmlns:a16="http://schemas.microsoft.com/office/drawing/2014/main" id="{E87786FA-2E30-EF5F-9C5A-AF5435CCAF8A}"/>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5" name="Rectangle 84">
            <a:extLst>
              <a:ext uri="{FF2B5EF4-FFF2-40B4-BE49-F238E27FC236}">
                <a16:creationId xmlns:a16="http://schemas.microsoft.com/office/drawing/2014/main" id="{CE6389A6-3C30-D4FF-8971-EC927AEB2140}"/>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ectangle 85">
            <a:extLst>
              <a:ext uri="{FF2B5EF4-FFF2-40B4-BE49-F238E27FC236}">
                <a16:creationId xmlns:a16="http://schemas.microsoft.com/office/drawing/2014/main" id="{624BF0D4-325F-0EAD-A426-1187BCB6D2E5}"/>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7" name="Rectangle 86">
            <a:extLst>
              <a:ext uri="{FF2B5EF4-FFF2-40B4-BE49-F238E27FC236}">
                <a16:creationId xmlns:a16="http://schemas.microsoft.com/office/drawing/2014/main" id="{42F28BD3-561B-0A4E-0B26-89B19D7FD9BB}"/>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Rectangle 87">
            <a:extLst>
              <a:ext uri="{FF2B5EF4-FFF2-40B4-BE49-F238E27FC236}">
                <a16:creationId xmlns:a16="http://schemas.microsoft.com/office/drawing/2014/main" id="{6169B978-7AB9-2E4C-272D-86070351AC05}"/>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9" name="Rectangle 88">
            <a:extLst>
              <a:ext uri="{FF2B5EF4-FFF2-40B4-BE49-F238E27FC236}">
                <a16:creationId xmlns:a16="http://schemas.microsoft.com/office/drawing/2014/main" id="{FD3373A6-242C-C3DA-0633-E5FB553253CA}"/>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0" name="Rectangle 89">
            <a:extLst>
              <a:ext uri="{FF2B5EF4-FFF2-40B4-BE49-F238E27FC236}">
                <a16:creationId xmlns:a16="http://schemas.microsoft.com/office/drawing/2014/main" id="{79D6FE3D-B006-6BA1-4C12-F36690BD1566}"/>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66675</xdr:rowOff>
    </xdr:from>
    <xdr:to>
      <xdr:col>3</xdr:col>
      <xdr:colOff>0</xdr:colOff>
      <xdr:row>4</xdr:row>
      <xdr:rowOff>38100</xdr:rowOff>
    </xdr:to>
    <xdr:sp macro="" textlink="">
      <xdr:nvSpPr>
        <xdr:cNvPr id="91" name="Rectangle 90">
          <a:hlinkClick xmlns:r="http://schemas.openxmlformats.org/officeDocument/2006/relationships" r:id="rId13" tooltip="Visit our website"/>
          <a:extLst>
            <a:ext uri="{FF2B5EF4-FFF2-40B4-BE49-F238E27FC236}">
              <a16:creationId xmlns:a16="http://schemas.microsoft.com/office/drawing/2014/main" id="{B8BE0A1A-23B4-4D39-BA3F-9B4ECDD32D9A}"/>
            </a:ext>
          </a:extLst>
        </xdr:cNvPr>
        <xdr:cNvSpPr/>
      </xdr:nvSpPr>
      <xdr:spPr>
        <a:xfrm>
          <a:off x="200025" y="2571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4.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42269C71-B900-4666-9CF9-309D20C912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11</xdr:col>
      <xdr:colOff>209550</xdr:colOff>
      <xdr:row>1</xdr:row>
      <xdr:rowOff>68894</xdr:rowOff>
    </xdr:from>
    <xdr:to>
      <xdr:col>15</xdr:col>
      <xdr:colOff>1362075</xdr:colOff>
      <xdr:row>4</xdr:row>
      <xdr:rowOff>142875</xdr:rowOff>
    </xdr:to>
    <xdr:grpSp>
      <xdr:nvGrpSpPr>
        <xdr:cNvPr id="3" name="Group 2">
          <a:hlinkClick xmlns:r="http://schemas.openxmlformats.org/officeDocument/2006/relationships" r:id="rId2" tooltip="Subscribe to our YouTube Channel"/>
          <a:extLst>
            <a:ext uri="{FF2B5EF4-FFF2-40B4-BE49-F238E27FC236}">
              <a16:creationId xmlns:a16="http://schemas.microsoft.com/office/drawing/2014/main" id="{CF42E0C6-5934-426A-AB63-A5FCA708CD01}"/>
            </a:ext>
          </a:extLst>
        </xdr:cNvPr>
        <xdr:cNvGrpSpPr/>
      </xdr:nvGrpSpPr>
      <xdr:grpSpPr>
        <a:xfrm>
          <a:off x="5416550" y="253044"/>
          <a:ext cx="3178175" cy="683581"/>
          <a:chOff x="6877050" y="1735769"/>
          <a:chExt cx="3209925" cy="616906"/>
        </a:xfrm>
      </xdr:grpSpPr>
      <xdr:pic>
        <xdr:nvPicPr>
          <xdr:cNvPr id="4" name="Picture 3">
            <a:extLst>
              <a:ext uri="{FF2B5EF4-FFF2-40B4-BE49-F238E27FC236}">
                <a16:creationId xmlns:a16="http://schemas.microsoft.com/office/drawing/2014/main" id="{3B219577-00F5-7B0E-BEDC-5A5CCB8A1189}"/>
              </a:ext>
            </a:extLst>
          </xdr:cNvPr>
          <xdr:cNvPicPr>
            <a:picLocks noChangeAspect="1"/>
          </xdr:cNvPicPr>
        </xdr:nvPicPr>
        <xdr:blipFill rotWithShape="1">
          <a:blip xmlns:r="http://schemas.openxmlformats.org/officeDocument/2006/relationships" r:embed="rId3"/>
          <a:srcRect l="21422" r="22564" b="61165"/>
          <a:stretch/>
        </xdr:blipFill>
        <xdr:spPr>
          <a:xfrm>
            <a:off x="6877050" y="1735769"/>
            <a:ext cx="3190875" cy="616906"/>
          </a:xfrm>
          <a:prstGeom prst="roundRect">
            <a:avLst>
              <a:gd name="adj" fmla="val 18431"/>
            </a:avLst>
          </a:prstGeom>
        </xdr:spPr>
      </xdr:pic>
      <xdr:pic>
        <xdr:nvPicPr>
          <xdr:cNvPr id="5" name="Picture 4">
            <a:hlinkClick xmlns:r="http://schemas.openxmlformats.org/officeDocument/2006/relationships" r:id="rId4" tooltip="Subscribe to our YouTube Channel"/>
            <a:extLst>
              <a:ext uri="{FF2B5EF4-FFF2-40B4-BE49-F238E27FC236}">
                <a16:creationId xmlns:a16="http://schemas.microsoft.com/office/drawing/2014/main" id="{E904B483-7B1F-A319-D39A-66658B047C66}"/>
              </a:ext>
            </a:extLst>
          </xdr:cNvPr>
          <xdr:cNvPicPr>
            <a:picLocks noChangeAspect="1"/>
          </xdr:cNvPicPr>
        </xdr:nvPicPr>
        <xdr:blipFill>
          <a:blip xmlns:r="http://schemas.openxmlformats.org/officeDocument/2006/relationships" r:embed="rId5"/>
          <a:stretch>
            <a:fillRect/>
          </a:stretch>
        </xdr:blipFill>
        <xdr:spPr>
          <a:xfrm>
            <a:off x="8781626" y="1763078"/>
            <a:ext cx="1072787" cy="327858"/>
          </a:xfrm>
          <a:prstGeom prst="roundRect">
            <a:avLst>
              <a:gd name="adj" fmla="val 25491"/>
            </a:avLst>
          </a:prstGeom>
        </xdr:spPr>
      </xdr:pic>
      <xdr:pic>
        <xdr:nvPicPr>
          <xdr:cNvPr id="6" name="Picture 5">
            <a:extLst>
              <a:ext uri="{FF2B5EF4-FFF2-40B4-BE49-F238E27FC236}">
                <a16:creationId xmlns:a16="http://schemas.microsoft.com/office/drawing/2014/main" id="{AF7CB753-8CE2-53E4-753D-DB97CC3BCA33}"/>
              </a:ext>
            </a:extLst>
          </xdr:cNvPr>
          <xdr:cNvPicPr>
            <a:picLocks noChangeAspect="1"/>
          </xdr:cNvPicPr>
        </xdr:nvPicPr>
        <xdr:blipFill>
          <a:blip xmlns:r="http://schemas.openxmlformats.org/officeDocument/2006/relationships" r:embed="rId6"/>
          <a:stretch>
            <a:fillRect/>
          </a:stretch>
        </xdr:blipFill>
        <xdr:spPr>
          <a:xfrm>
            <a:off x="7324725" y="1777199"/>
            <a:ext cx="962025" cy="237126"/>
          </a:xfrm>
          <a:prstGeom prst="roundRect">
            <a:avLst>
              <a:gd name="adj" fmla="val 26144"/>
            </a:avLst>
          </a:prstGeom>
        </xdr:spPr>
      </xdr:pic>
      <xdr:sp macro="" textlink="">
        <xdr:nvSpPr>
          <xdr:cNvPr id="7" name="TextBox 6">
            <a:extLst>
              <a:ext uri="{FF2B5EF4-FFF2-40B4-BE49-F238E27FC236}">
                <a16:creationId xmlns:a16="http://schemas.microsoft.com/office/drawing/2014/main" id="{2D117529-32D7-2406-39E5-CDA43784DA6C}"/>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3</xdr:col>
      <xdr:colOff>66676</xdr:colOff>
      <xdr:row>1</xdr:row>
      <xdr:rowOff>68894</xdr:rowOff>
    </xdr:from>
    <xdr:to>
      <xdr:col>11</xdr:col>
      <xdr:colOff>57150</xdr:colOff>
      <xdr:row>4</xdr:row>
      <xdr:rowOff>142875</xdr:rowOff>
    </xdr:to>
    <xdr:grpSp>
      <xdr:nvGrpSpPr>
        <xdr:cNvPr id="8" name="Group 7">
          <a:hlinkClick xmlns:r="http://schemas.openxmlformats.org/officeDocument/2006/relationships" r:id="rId7" tooltip="Visit our website"/>
          <a:extLst>
            <a:ext uri="{FF2B5EF4-FFF2-40B4-BE49-F238E27FC236}">
              <a16:creationId xmlns:a16="http://schemas.microsoft.com/office/drawing/2014/main" id="{7B481832-8C3B-4337-8F08-DC2CB8BA02E0}"/>
            </a:ext>
          </a:extLst>
        </xdr:cNvPr>
        <xdr:cNvGrpSpPr/>
      </xdr:nvGrpSpPr>
      <xdr:grpSpPr>
        <a:xfrm>
          <a:off x="2295526" y="253044"/>
          <a:ext cx="2968624" cy="683581"/>
          <a:chOff x="3048001" y="334328"/>
          <a:chExt cx="2724150" cy="616906"/>
        </a:xfrm>
      </xdr:grpSpPr>
      <xdr:pic>
        <xdr:nvPicPr>
          <xdr:cNvPr id="9" name="Picture 8">
            <a:extLst>
              <a:ext uri="{FF2B5EF4-FFF2-40B4-BE49-F238E27FC236}">
                <a16:creationId xmlns:a16="http://schemas.microsoft.com/office/drawing/2014/main" id="{3E4770EB-3020-1536-8738-187C078754BF}"/>
              </a:ext>
            </a:extLst>
          </xdr:cNvPr>
          <xdr:cNvPicPr>
            <a:picLocks noChangeAspect="1"/>
          </xdr:cNvPicPr>
        </xdr:nvPicPr>
        <xdr:blipFill rotWithShape="1">
          <a:blip xmlns:r="http://schemas.openxmlformats.org/officeDocument/2006/relationships" r:embed="rId3"/>
          <a:srcRect l="21422" r="22564" b="61165"/>
          <a:stretch/>
        </xdr:blipFill>
        <xdr:spPr>
          <a:xfrm>
            <a:off x="3048001" y="334328"/>
            <a:ext cx="2724150" cy="616906"/>
          </a:xfrm>
          <a:prstGeom prst="roundRect">
            <a:avLst>
              <a:gd name="adj" fmla="val 18431"/>
            </a:avLst>
          </a:prstGeom>
        </xdr:spPr>
      </xdr:pic>
      <xdr:sp macro="" textlink="">
        <xdr:nvSpPr>
          <xdr:cNvPr id="10" name="TextBox 9">
            <a:extLst>
              <a:ext uri="{FF2B5EF4-FFF2-40B4-BE49-F238E27FC236}">
                <a16:creationId xmlns:a16="http://schemas.microsoft.com/office/drawing/2014/main" id="{97BF9725-ABBA-4C6A-3882-A3AEF1A119F3}"/>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11" name="Picture 10">
            <a:extLst>
              <a:ext uri="{FF2B5EF4-FFF2-40B4-BE49-F238E27FC236}">
                <a16:creationId xmlns:a16="http://schemas.microsoft.com/office/drawing/2014/main" id="{B81EC05D-C899-2556-B43F-6EE9A8367A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12" name="TextBox 11">
            <a:extLst>
              <a:ext uri="{FF2B5EF4-FFF2-40B4-BE49-F238E27FC236}">
                <a16:creationId xmlns:a16="http://schemas.microsoft.com/office/drawing/2014/main" id="{BBF62146-2F98-99BC-61C6-3E0A501F09E9}"/>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16</xdr:col>
      <xdr:colOff>66675</xdr:colOff>
      <xdr:row>2</xdr:row>
      <xdr:rowOff>57152</xdr:rowOff>
    </xdr:from>
    <xdr:to>
      <xdr:col>16</xdr:col>
      <xdr:colOff>1019169</xdr:colOff>
      <xdr:row>3</xdr:row>
      <xdr:rowOff>143102</xdr:rowOff>
    </xdr:to>
    <xdr:grpSp>
      <xdr:nvGrpSpPr>
        <xdr:cNvPr id="13" name="Group 12">
          <a:hlinkClick xmlns:r="http://schemas.openxmlformats.org/officeDocument/2006/relationships" r:id="rId8" tooltip="Go to Cover page"/>
          <a:extLst>
            <a:ext uri="{FF2B5EF4-FFF2-40B4-BE49-F238E27FC236}">
              <a16:creationId xmlns:a16="http://schemas.microsoft.com/office/drawing/2014/main" id="{BA0387DB-83E2-4568-8A09-E12F6693865B}"/>
            </a:ext>
          </a:extLst>
        </xdr:cNvPr>
        <xdr:cNvGrpSpPr/>
      </xdr:nvGrpSpPr>
      <xdr:grpSpPr>
        <a:xfrm>
          <a:off x="9553575" y="444502"/>
          <a:ext cx="952494" cy="289150"/>
          <a:chOff x="3615235" y="2135609"/>
          <a:chExt cx="1011478" cy="463990"/>
        </a:xfrm>
      </xdr:grpSpPr>
      <xdr:sp macro="" textlink="">
        <xdr:nvSpPr>
          <xdr:cNvPr id="14" name="Rectangle 13">
            <a:extLst>
              <a:ext uri="{FF2B5EF4-FFF2-40B4-BE49-F238E27FC236}">
                <a16:creationId xmlns:a16="http://schemas.microsoft.com/office/drawing/2014/main" id="{4DB5CA93-B3AB-B221-18EC-B2087D6ACF02}"/>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5" name="Graphic 3" descr="Back with solid fill">
            <a:extLst>
              <a:ext uri="{FF2B5EF4-FFF2-40B4-BE49-F238E27FC236}">
                <a16:creationId xmlns:a16="http://schemas.microsoft.com/office/drawing/2014/main" id="{698736A9-6F84-85DD-F41D-A49744A5DBC9}"/>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6" name="TextBox 15">
            <a:extLst>
              <a:ext uri="{FF2B5EF4-FFF2-40B4-BE49-F238E27FC236}">
                <a16:creationId xmlns:a16="http://schemas.microsoft.com/office/drawing/2014/main" id="{BC845803-DCF0-E913-0237-C6F235B6F9E4}"/>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16</xdr:col>
      <xdr:colOff>1729583</xdr:colOff>
      <xdr:row>2</xdr:row>
      <xdr:rowOff>9527</xdr:rowOff>
    </xdr:from>
    <xdr:to>
      <xdr:col>17</xdr:col>
      <xdr:colOff>165319</xdr:colOff>
      <xdr:row>3</xdr:row>
      <xdr:rowOff>177956</xdr:rowOff>
    </xdr:to>
    <xdr:grpSp>
      <xdr:nvGrpSpPr>
        <xdr:cNvPr id="17" name="Group 16">
          <a:hlinkClick xmlns:r="http://schemas.openxmlformats.org/officeDocument/2006/relationships" r:id="rId9" tooltip="Go to Previous page"/>
          <a:extLst>
            <a:ext uri="{FF2B5EF4-FFF2-40B4-BE49-F238E27FC236}">
              <a16:creationId xmlns:a16="http://schemas.microsoft.com/office/drawing/2014/main" id="{3B660301-8876-4E9A-B0F7-1650F49BCE84}"/>
            </a:ext>
          </a:extLst>
        </xdr:cNvPr>
        <xdr:cNvGrpSpPr/>
      </xdr:nvGrpSpPr>
      <xdr:grpSpPr>
        <a:xfrm>
          <a:off x="11216483" y="396877"/>
          <a:ext cx="689986" cy="371629"/>
          <a:chOff x="3207261" y="2135607"/>
          <a:chExt cx="689910" cy="602421"/>
        </a:xfrm>
      </xdr:grpSpPr>
      <xdr:sp macro="" textlink="">
        <xdr:nvSpPr>
          <xdr:cNvPr id="18" name="Rectangle 17">
            <a:extLst>
              <a:ext uri="{FF2B5EF4-FFF2-40B4-BE49-F238E27FC236}">
                <a16:creationId xmlns:a16="http://schemas.microsoft.com/office/drawing/2014/main" id="{F964682E-0BC7-87C9-B42E-05194708170D}"/>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Graphic 3" descr="Back with solid fill">
            <a:extLst>
              <a:ext uri="{FF2B5EF4-FFF2-40B4-BE49-F238E27FC236}">
                <a16:creationId xmlns:a16="http://schemas.microsoft.com/office/drawing/2014/main" id="{E4942130-4ADE-2C86-9899-6B165D9D3485}"/>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0" name="TextBox 19">
            <a:extLst>
              <a:ext uri="{FF2B5EF4-FFF2-40B4-BE49-F238E27FC236}">
                <a16:creationId xmlns:a16="http://schemas.microsoft.com/office/drawing/2014/main" id="{DFF75167-3040-866C-7883-9F0772BA4E8E}"/>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17</xdr:col>
      <xdr:colOff>393449</xdr:colOff>
      <xdr:row>2</xdr:row>
      <xdr:rowOff>9525</xdr:rowOff>
    </xdr:from>
    <xdr:to>
      <xdr:col>18</xdr:col>
      <xdr:colOff>419094</xdr:colOff>
      <xdr:row>3</xdr:row>
      <xdr:rowOff>177954</xdr:rowOff>
    </xdr:to>
    <xdr:grpSp>
      <xdr:nvGrpSpPr>
        <xdr:cNvPr id="21" name="Group 20">
          <a:hlinkClick xmlns:r="http://schemas.openxmlformats.org/officeDocument/2006/relationships" r:id="rId10" tooltip="Go to Next page"/>
          <a:extLst>
            <a:ext uri="{FF2B5EF4-FFF2-40B4-BE49-F238E27FC236}">
              <a16:creationId xmlns:a16="http://schemas.microsoft.com/office/drawing/2014/main" id="{D6569CA3-3467-478C-9CC0-EC36F4BAFFF9}"/>
            </a:ext>
          </a:extLst>
        </xdr:cNvPr>
        <xdr:cNvGrpSpPr/>
      </xdr:nvGrpSpPr>
      <xdr:grpSpPr>
        <a:xfrm rot="10800000">
          <a:off x="12134599" y="396875"/>
          <a:ext cx="584445" cy="371629"/>
          <a:chOff x="3185180" y="2135611"/>
          <a:chExt cx="648224" cy="602421"/>
        </a:xfrm>
      </xdr:grpSpPr>
      <xdr:sp macro="" textlink="">
        <xdr:nvSpPr>
          <xdr:cNvPr id="22" name="Rectangle 21">
            <a:extLst>
              <a:ext uri="{FF2B5EF4-FFF2-40B4-BE49-F238E27FC236}">
                <a16:creationId xmlns:a16="http://schemas.microsoft.com/office/drawing/2014/main" id="{CA9B0D82-1D90-6618-51D3-678C4A0C58FB}"/>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3" name="Graphic 3" descr="Back with solid fill">
            <a:extLst>
              <a:ext uri="{FF2B5EF4-FFF2-40B4-BE49-F238E27FC236}">
                <a16:creationId xmlns:a16="http://schemas.microsoft.com/office/drawing/2014/main" id="{959483C6-709F-7CAF-7CA9-D6C8FA625EB2}"/>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4" name="TextBox 23">
            <a:extLst>
              <a:ext uri="{FF2B5EF4-FFF2-40B4-BE49-F238E27FC236}">
                <a16:creationId xmlns:a16="http://schemas.microsoft.com/office/drawing/2014/main" id="{5648CE65-0015-7F7A-8B8B-F34394C1F3B8}"/>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16</xdr:col>
      <xdr:colOff>1247298</xdr:colOff>
      <xdr:row>2</xdr:row>
      <xdr:rowOff>54131</xdr:rowOff>
    </xdr:from>
    <xdr:to>
      <xdr:col>16</xdr:col>
      <xdr:colOff>1501454</xdr:colOff>
      <xdr:row>3</xdr:row>
      <xdr:rowOff>115903</xdr:rowOff>
    </xdr:to>
    <xdr:grpSp>
      <xdr:nvGrpSpPr>
        <xdr:cNvPr id="25" name="Group 24">
          <a:hlinkClick xmlns:r="http://schemas.openxmlformats.org/officeDocument/2006/relationships" r:id="rId11" tooltip="Go to Gallery"/>
          <a:extLst>
            <a:ext uri="{FF2B5EF4-FFF2-40B4-BE49-F238E27FC236}">
              <a16:creationId xmlns:a16="http://schemas.microsoft.com/office/drawing/2014/main" id="{157C275F-2D40-47B5-A26E-2760E5010E41}"/>
            </a:ext>
          </a:extLst>
        </xdr:cNvPr>
        <xdr:cNvGrpSpPr/>
      </xdr:nvGrpSpPr>
      <xdr:grpSpPr>
        <a:xfrm>
          <a:off x="10734198" y="441481"/>
          <a:ext cx="254156" cy="264972"/>
          <a:chOff x="5270413" y="829190"/>
          <a:chExt cx="251434" cy="252272"/>
        </a:xfrm>
      </xdr:grpSpPr>
      <xdr:sp macro="" textlink="">
        <xdr:nvSpPr>
          <xdr:cNvPr id="26" name="Rectangle 25">
            <a:extLst>
              <a:ext uri="{FF2B5EF4-FFF2-40B4-BE49-F238E27FC236}">
                <a16:creationId xmlns:a16="http://schemas.microsoft.com/office/drawing/2014/main" id="{9B3D0F88-DBA6-D2D0-8C4C-86D52A18431C}"/>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75186E98-1B97-38C3-9789-E31B5155E6B9}"/>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BE52A9B8-44ED-1FDD-F8CD-3ABCD10C2B00}"/>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26DD6705-5883-8020-88F4-CDCE58A4CEE2}"/>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9EF81C95-A9FC-61CB-53A6-58BB461EEC7C}"/>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81BEE6FD-6D88-586E-40D6-24D10A8BA6E8}"/>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1217D24E-9037-44EA-AE1D-1BEE4837166D}"/>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50F5B528-AF4C-A794-68C8-E3BFFA0EFBD1}"/>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03BAA52E-3534-8ABF-8BA9-FB59B55ACB79}"/>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66675</xdr:rowOff>
    </xdr:from>
    <xdr:to>
      <xdr:col>3</xdr:col>
      <xdr:colOff>0</xdr:colOff>
      <xdr:row>4</xdr:row>
      <xdr:rowOff>38100</xdr:rowOff>
    </xdr:to>
    <xdr:sp macro="" textlink="">
      <xdr:nvSpPr>
        <xdr:cNvPr id="35" name="Rectangle 34">
          <a:hlinkClick xmlns:r="http://schemas.openxmlformats.org/officeDocument/2006/relationships" r:id="rId7" tooltip="Visit our website"/>
          <a:extLst>
            <a:ext uri="{FF2B5EF4-FFF2-40B4-BE49-F238E27FC236}">
              <a16:creationId xmlns:a16="http://schemas.microsoft.com/office/drawing/2014/main" id="{D7008618-5C42-4D41-8A7E-9E8BE833529A}"/>
            </a:ext>
          </a:extLst>
        </xdr:cNvPr>
        <xdr:cNvSpPr/>
      </xdr:nvSpPr>
      <xdr:spPr>
        <a:xfrm>
          <a:off x="200025" y="2571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5.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874167CD-4321-4033-8CA1-9C409925CE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11</xdr:col>
      <xdr:colOff>85725</xdr:colOff>
      <xdr:row>1</xdr:row>
      <xdr:rowOff>68894</xdr:rowOff>
    </xdr:from>
    <xdr:to>
      <xdr:col>15</xdr:col>
      <xdr:colOff>1219200</xdr:colOff>
      <xdr:row>4</xdr:row>
      <xdr:rowOff>142875</xdr:rowOff>
    </xdr:to>
    <xdr:grpSp>
      <xdr:nvGrpSpPr>
        <xdr:cNvPr id="3" name="Group 2">
          <a:hlinkClick xmlns:r="http://schemas.openxmlformats.org/officeDocument/2006/relationships" r:id="rId2" tooltip="Subscribe to our YouTube Channel"/>
          <a:extLst>
            <a:ext uri="{FF2B5EF4-FFF2-40B4-BE49-F238E27FC236}">
              <a16:creationId xmlns:a16="http://schemas.microsoft.com/office/drawing/2014/main" id="{6D385226-A34E-4C11-B291-11BB25B41009}"/>
            </a:ext>
          </a:extLst>
        </xdr:cNvPr>
        <xdr:cNvGrpSpPr/>
      </xdr:nvGrpSpPr>
      <xdr:grpSpPr>
        <a:xfrm>
          <a:off x="5292725" y="253044"/>
          <a:ext cx="3159125" cy="683581"/>
          <a:chOff x="6877050" y="1735769"/>
          <a:chExt cx="3209925" cy="616906"/>
        </a:xfrm>
      </xdr:grpSpPr>
      <xdr:pic>
        <xdr:nvPicPr>
          <xdr:cNvPr id="4" name="Picture 3">
            <a:extLst>
              <a:ext uri="{FF2B5EF4-FFF2-40B4-BE49-F238E27FC236}">
                <a16:creationId xmlns:a16="http://schemas.microsoft.com/office/drawing/2014/main" id="{57F0E14B-2BA4-F926-A2B9-0C7049DD13DD}"/>
              </a:ext>
            </a:extLst>
          </xdr:cNvPr>
          <xdr:cNvPicPr>
            <a:picLocks noChangeAspect="1"/>
          </xdr:cNvPicPr>
        </xdr:nvPicPr>
        <xdr:blipFill rotWithShape="1">
          <a:blip xmlns:r="http://schemas.openxmlformats.org/officeDocument/2006/relationships" r:embed="rId3"/>
          <a:srcRect l="21422" r="22564" b="61165"/>
          <a:stretch/>
        </xdr:blipFill>
        <xdr:spPr>
          <a:xfrm>
            <a:off x="6877050" y="1735769"/>
            <a:ext cx="3190875" cy="616906"/>
          </a:xfrm>
          <a:prstGeom prst="roundRect">
            <a:avLst>
              <a:gd name="adj" fmla="val 18431"/>
            </a:avLst>
          </a:prstGeom>
        </xdr:spPr>
      </xdr:pic>
      <xdr:pic>
        <xdr:nvPicPr>
          <xdr:cNvPr id="5" name="Picture 4">
            <a:hlinkClick xmlns:r="http://schemas.openxmlformats.org/officeDocument/2006/relationships" r:id="rId4" tooltip="Subscribe to our YouTube Channel"/>
            <a:extLst>
              <a:ext uri="{FF2B5EF4-FFF2-40B4-BE49-F238E27FC236}">
                <a16:creationId xmlns:a16="http://schemas.microsoft.com/office/drawing/2014/main" id="{9FB38DCF-EB9D-BA53-9E52-B82A8C1645A3}"/>
              </a:ext>
            </a:extLst>
          </xdr:cNvPr>
          <xdr:cNvPicPr>
            <a:picLocks noChangeAspect="1"/>
          </xdr:cNvPicPr>
        </xdr:nvPicPr>
        <xdr:blipFill>
          <a:blip xmlns:r="http://schemas.openxmlformats.org/officeDocument/2006/relationships" r:embed="rId5"/>
          <a:stretch>
            <a:fillRect/>
          </a:stretch>
        </xdr:blipFill>
        <xdr:spPr>
          <a:xfrm>
            <a:off x="8781626" y="1763078"/>
            <a:ext cx="1072787" cy="327858"/>
          </a:xfrm>
          <a:prstGeom prst="roundRect">
            <a:avLst>
              <a:gd name="adj" fmla="val 25491"/>
            </a:avLst>
          </a:prstGeom>
        </xdr:spPr>
      </xdr:pic>
      <xdr:pic>
        <xdr:nvPicPr>
          <xdr:cNvPr id="6" name="Picture 5">
            <a:extLst>
              <a:ext uri="{FF2B5EF4-FFF2-40B4-BE49-F238E27FC236}">
                <a16:creationId xmlns:a16="http://schemas.microsoft.com/office/drawing/2014/main" id="{D96EE269-97D7-8162-8065-2B28381C4F08}"/>
              </a:ext>
            </a:extLst>
          </xdr:cNvPr>
          <xdr:cNvPicPr>
            <a:picLocks noChangeAspect="1"/>
          </xdr:cNvPicPr>
        </xdr:nvPicPr>
        <xdr:blipFill>
          <a:blip xmlns:r="http://schemas.openxmlformats.org/officeDocument/2006/relationships" r:embed="rId6"/>
          <a:stretch>
            <a:fillRect/>
          </a:stretch>
        </xdr:blipFill>
        <xdr:spPr>
          <a:xfrm>
            <a:off x="7324725" y="1777199"/>
            <a:ext cx="962025" cy="237126"/>
          </a:xfrm>
          <a:prstGeom prst="roundRect">
            <a:avLst>
              <a:gd name="adj" fmla="val 26144"/>
            </a:avLst>
          </a:prstGeom>
        </xdr:spPr>
      </xdr:pic>
      <xdr:sp macro="" textlink="">
        <xdr:nvSpPr>
          <xdr:cNvPr id="7" name="TextBox 6">
            <a:extLst>
              <a:ext uri="{FF2B5EF4-FFF2-40B4-BE49-F238E27FC236}">
                <a16:creationId xmlns:a16="http://schemas.microsoft.com/office/drawing/2014/main" id="{601D9C18-40B4-D63F-A888-1008671342CA}"/>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2</xdr:col>
      <xdr:colOff>1647826</xdr:colOff>
      <xdr:row>1</xdr:row>
      <xdr:rowOff>68894</xdr:rowOff>
    </xdr:from>
    <xdr:to>
      <xdr:col>10</xdr:col>
      <xdr:colOff>333375</xdr:colOff>
      <xdr:row>4</xdr:row>
      <xdr:rowOff>142875</xdr:rowOff>
    </xdr:to>
    <xdr:grpSp>
      <xdr:nvGrpSpPr>
        <xdr:cNvPr id="8" name="Group 7">
          <a:hlinkClick xmlns:r="http://schemas.openxmlformats.org/officeDocument/2006/relationships" r:id="rId7" tooltip="Visit our website"/>
          <a:extLst>
            <a:ext uri="{FF2B5EF4-FFF2-40B4-BE49-F238E27FC236}">
              <a16:creationId xmlns:a16="http://schemas.microsoft.com/office/drawing/2014/main" id="{7D9DB8EE-2206-4296-9A7E-24A83E895A43}"/>
            </a:ext>
          </a:extLst>
        </xdr:cNvPr>
        <xdr:cNvGrpSpPr/>
      </xdr:nvGrpSpPr>
      <xdr:grpSpPr>
        <a:xfrm>
          <a:off x="2028826" y="253044"/>
          <a:ext cx="3035299" cy="683581"/>
          <a:chOff x="3048001" y="334328"/>
          <a:chExt cx="2724150" cy="616906"/>
        </a:xfrm>
      </xdr:grpSpPr>
      <xdr:pic>
        <xdr:nvPicPr>
          <xdr:cNvPr id="9" name="Picture 8">
            <a:extLst>
              <a:ext uri="{FF2B5EF4-FFF2-40B4-BE49-F238E27FC236}">
                <a16:creationId xmlns:a16="http://schemas.microsoft.com/office/drawing/2014/main" id="{80811DE1-C93C-F003-D72B-1248548BB80E}"/>
              </a:ext>
            </a:extLst>
          </xdr:cNvPr>
          <xdr:cNvPicPr>
            <a:picLocks noChangeAspect="1"/>
          </xdr:cNvPicPr>
        </xdr:nvPicPr>
        <xdr:blipFill rotWithShape="1">
          <a:blip xmlns:r="http://schemas.openxmlformats.org/officeDocument/2006/relationships" r:embed="rId3"/>
          <a:srcRect l="21422" r="22564" b="61165"/>
          <a:stretch/>
        </xdr:blipFill>
        <xdr:spPr>
          <a:xfrm>
            <a:off x="3048001" y="334328"/>
            <a:ext cx="2724150" cy="616906"/>
          </a:xfrm>
          <a:prstGeom prst="roundRect">
            <a:avLst>
              <a:gd name="adj" fmla="val 18431"/>
            </a:avLst>
          </a:prstGeom>
        </xdr:spPr>
      </xdr:pic>
      <xdr:sp macro="" textlink="">
        <xdr:nvSpPr>
          <xdr:cNvPr id="10" name="TextBox 9">
            <a:extLst>
              <a:ext uri="{FF2B5EF4-FFF2-40B4-BE49-F238E27FC236}">
                <a16:creationId xmlns:a16="http://schemas.microsoft.com/office/drawing/2014/main" id="{0A268808-2779-CC75-4440-9D29D70B4A08}"/>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11" name="Picture 10">
            <a:extLst>
              <a:ext uri="{FF2B5EF4-FFF2-40B4-BE49-F238E27FC236}">
                <a16:creationId xmlns:a16="http://schemas.microsoft.com/office/drawing/2014/main" id="{F48ADCE8-2E54-9B7D-02B0-405EC0E6EB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12" name="TextBox 11">
            <a:extLst>
              <a:ext uri="{FF2B5EF4-FFF2-40B4-BE49-F238E27FC236}">
                <a16:creationId xmlns:a16="http://schemas.microsoft.com/office/drawing/2014/main" id="{81B8327E-B3C6-58D8-A50A-092938F2C28C}"/>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12</xdr:col>
      <xdr:colOff>38100</xdr:colOff>
      <xdr:row>39</xdr:row>
      <xdr:rowOff>9525</xdr:rowOff>
    </xdr:from>
    <xdr:to>
      <xdr:col>18</xdr:col>
      <xdr:colOff>257175</xdr:colOff>
      <xdr:row>45</xdr:row>
      <xdr:rowOff>80178</xdr:rowOff>
    </xdr:to>
    <xdr:pic>
      <xdr:nvPicPr>
        <xdr:cNvPr id="14" name="Picture 13">
          <a:extLst>
            <a:ext uri="{FF2B5EF4-FFF2-40B4-BE49-F238E27FC236}">
              <a16:creationId xmlns:a16="http://schemas.microsoft.com/office/drawing/2014/main" id="{8510177B-AB5E-4E92-BDEE-09649A3E4438}"/>
            </a:ext>
          </a:extLst>
        </xdr:cNvPr>
        <xdr:cNvPicPr>
          <a:picLocks noChangeAspect="1"/>
        </xdr:cNvPicPr>
      </xdr:nvPicPr>
      <xdr:blipFill rotWithShape="1">
        <a:blip xmlns:r="http://schemas.openxmlformats.org/officeDocument/2006/relationships" r:embed="rId8"/>
        <a:srcRect t="1" b="21855"/>
        <a:stretch/>
      </xdr:blipFill>
      <xdr:spPr>
        <a:xfrm>
          <a:off x="5534025" y="7458075"/>
          <a:ext cx="6457950" cy="1213653"/>
        </a:xfrm>
        <a:prstGeom prst="rect">
          <a:avLst/>
        </a:prstGeom>
      </xdr:spPr>
    </xdr:pic>
    <xdr:clientData/>
  </xdr:twoCellAnchor>
  <xdr:twoCellAnchor>
    <xdr:from>
      <xdr:col>5</xdr:col>
      <xdr:colOff>19050</xdr:colOff>
      <xdr:row>37</xdr:row>
      <xdr:rowOff>23161</xdr:rowOff>
    </xdr:from>
    <xdr:to>
      <xdr:col>16</xdr:col>
      <xdr:colOff>2000006</xdr:colOff>
      <xdr:row>41</xdr:row>
      <xdr:rowOff>38100</xdr:rowOff>
    </xdr:to>
    <xdr:sp macro="" textlink="">
      <xdr:nvSpPr>
        <xdr:cNvPr id="15" name="Freeform: Shape 14">
          <a:extLst>
            <a:ext uri="{FF2B5EF4-FFF2-40B4-BE49-F238E27FC236}">
              <a16:creationId xmlns:a16="http://schemas.microsoft.com/office/drawing/2014/main" id="{F99080E6-7472-4CF8-9BFD-8A6EAC71252A}"/>
            </a:ext>
          </a:extLst>
        </xdr:cNvPr>
        <xdr:cNvSpPr/>
      </xdr:nvSpPr>
      <xdr:spPr>
        <a:xfrm>
          <a:off x="2466975" y="7471711"/>
          <a:ext cx="8581781" cy="776939"/>
        </a:xfrm>
        <a:custGeom>
          <a:avLst/>
          <a:gdLst>
            <a:gd name="connsiteX0" fmla="*/ 0 w 8581781"/>
            <a:gd name="connsiteY0" fmla="*/ 776939 h 776939"/>
            <a:gd name="connsiteX1" fmla="*/ 1095375 w 8581781"/>
            <a:gd name="connsiteY1" fmla="*/ 14939 h 776939"/>
            <a:gd name="connsiteX2" fmla="*/ 4057650 w 8581781"/>
            <a:gd name="connsiteY2" fmla="*/ 253064 h 776939"/>
            <a:gd name="connsiteX3" fmla="*/ 7239000 w 8581781"/>
            <a:gd name="connsiteY3" fmla="*/ 24464 h 776939"/>
            <a:gd name="connsiteX4" fmla="*/ 8448675 w 8581781"/>
            <a:gd name="connsiteY4" fmla="*/ 557864 h 776939"/>
            <a:gd name="connsiteX5" fmla="*/ 8496300 w 8581781"/>
            <a:gd name="connsiteY5" fmla="*/ 567389 h 7769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8581781" h="776939">
              <a:moveTo>
                <a:pt x="0" y="776939"/>
              </a:moveTo>
              <a:cubicBezTo>
                <a:pt x="209550" y="439595"/>
                <a:pt x="419100" y="102251"/>
                <a:pt x="1095375" y="14939"/>
              </a:cubicBezTo>
              <a:cubicBezTo>
                <a:pt x="1771650" y="-72374"/>
                <a:pt x="3033713" y="251477"/>
                <a:pt x="4057650" y="253064"/>
              </a:cubicBezTo>
              <a:cubicBezTo>
                <a:pt x="5081587" y="254651"/>
                <a:pt x="6507163" y="-26336"/>
                <a:pt x="7239000" y="24464"/>
              </a:cubicBezTo>
              <a:cubicBezTo>
                <a:pt x="7970837" y="75264"/>
                <a:pt x="8239125" y="467377"/>
                <a:pt x="8448675" y="557864"/>
              </a:cubicBezTo>
              <a:cubicBezTo>
                <a:pt x="8658225" y="648351"/>
                <a:pt x="8577262" y="607870"/>
                <a:pt x="8496300" y="567389"/>
              </a:cubicBezTo>
            </a:path>
          </a:pathLst>
        </a:custGeom>
        <a:noFill/>
        <a:ln w="19050">
          <a:solidFill>
            <a:srgbClr val="E632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editAs="absolute">
    <xdr:from>
      <xdr:col>16</xdr:col>
      <xdr:colOff>352425</xdr:colOff>
      <xdr:row>2</xdr:row>
      <xdr:rowOff>38102</xdr:rowOff>
    </xdr:from>
    <xdr:to>
      <xdr:col>16</xdr:col>
      <xdr:colOff>1304919</xdr:colOff>
      <xdr:row>3</xdr:row>
      <xdr:rowOff>124052</xdr:rowOff>
    </xdr:to>
    <xdr:grpSp>
      <xdr:nvGrpSpPr>
        <xdr:cNvPr id="13" name="Group 12">
          <a:hlinkClick xmlns:r="http://schemas.openxmlformats.org/officeDocument/2006/relationships" r:id="rId9" tooltip="Go to Cover page"/>
          <a:extLst>
            <a:ext uri="{FF2B5EF4-FFF2-40B4-BE49-F238E27FC236}">
              <a16:creationId xmlns:a16="http://schemas.microsoft.com/office/drawing/2014/main" id="{71F11EBB-1831-4FDE-9D03-91BE9CB016D4}"/>
            </a:ext>
          </a:extLst>
        </xdr:cNvPr>
        <xdr:cNvGrpSpPr/>
      </xdr:nvGrpSpPr>
      <xdr:grpSpPr>
        <a:xfrm>
          <a:off x="9839325" y="425452"/>
          <a:ext cx="952494" cy="289150"/>
          <a:chOff x="3615235" y="2135609"/>
          <a:chExt cx="1011478" cy="463990"/>
        </a:xfrm>
      </xdr:grpSpPr>
      <xdr:sp macro="" textlink="">
        <xdr:nvSpPr>
          <xdr:cNvPr id="16" name="Rectangle 15">
            <a:extLst>
              <a:ext uri="{FF2B5EF4-FFF2-40B4-BE49-F238E27FC236}">
                <a16:creationId xmlns:a16="http://schemas.microsoft.com/office/drawing/2014/main" id="{C5D07694-03ED-B14B-D007-86903E1D00AF}"/>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7" name="Graphic 3" descr="Back with solid fill">
            <a:extLst>
              <a:ext uri="{FF2B5EF4-FFF2-40B4-BE49-F238E27FC236}">
                <a16:creationId xmlns:a16="http://schemas.microsoft.com/office/drawing/2014/main" id="{F6385A5E-CCFB-D957-DAA0-D2BB0AABBEBF}"/>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8" name="TextBox 17">
            <a:extLst>
              <a:ext uri="{FF2B5EF4-FFF2-40B4-BE49-F238E27FC236}">
                <a16:creationId xmlns:a16="http://schemas.microsoft.com/office/drawing/2014/main" id="{535A456E-8814-2DA5-B280-01039B8517EE}"/>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16</xdr:col>
      <xdr:colOff>2015333</xdr:colOff>
      <xdr:row>1</xdr:row>
      <xdr:rowOff>180977</xdr:rowOff>
    </xdr:from>
    <xdr:to>
      <xdr:col>17</xdr:col>
      <xdr:colOff>451069</xdr:colOff>
      <xdr:row>3</xdr:row>
      <xdr:rowOff>158906</xdr:rowOff>
    </xdr:to>
    <xdr:grpSp>
      <xdr:nvGrpSpPr>
        <xdr:cNvPr id="19" name="Group 18">
          <a:hlinkClick xmlns:r="http://schemas.openxmlformats.org/officeDocument/2006/relationships" r:id="rId10" tooltip="Go to Previous page"/>
          <a:extLst>
            <a:ext uri="{FF2B5EF4-FFF2-40B4-BE49-F238E27FC236}">
              <a16:creationId xmlns:a16="http://schemas.microsoft.com/office/drawing/2014/main" id="{D6E59FA1-46B2-4A44-98F9-D32B44007FD0}"/>
            </a:ext>
          </a:extLst>
        </xdr:cNvPr>
        <xdr:cNvGrpSpPr/>
      </xdr:nvGrpSpPr>
      <xdr:grpSpPr>
        <a:xfrm>
          <a:off x="11502233" y="365127"/>
          <a:ext cx="689986" cy="384329"/>
          <a:chOff x="3207261" y="2135607"/>
          <a:chExt cx="689910" cy="602421"/>
        </a:xfrm>
      </xdr:grpSpPr>
      <xdr:sp macro="" textlink="">
        <xdr:nvSpPr>
          <xdr:cNvPr id="20" name="Rectangle 19">
            <a:extLst>
              <a:ext uri="{FF2B5EF4-FFF2-40B4-BE49-F238E27FC236}">
                <a16:creationId xmlns:a16="http://schemas.microsoft.com/office/drawing/2014/main" id="{8CECE107-6C56-31C2-93E4-307D1690F650}"/>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1" name="Graphic 3" descr="Back with solid fill">
            <a:extLst>
              <a:ext uri="{FF2B5EF4-FFF2-40B4-BE49-F238E27FC236}">
                <a16:creationId xmlns:a16="http://schemas.microsoft.com/office/drawing/2014/main" id="{4A44200C-B058-945E-4E42-0BAD8667DD78}"/>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2" name="TextBox 21">
            <a:extLst>
              <a:ext uri="{FF2B5EF4-FFF2-40B4-BE49-F238E27FC236}">
                <a16:creationId xmlns:a16="http://schemas.microsoft.com/office/drawing/2014/main" id="{5C1035CF-2E31-9E23-7D98-E97CF94E82D3}"/>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18</xdr:col>
      <xdr:colOff>145799</xdr:colOff>
      <xdr:row>1</xdr:row>
      <xdr:rowOff>180975</xdr:rowOff>
    </xdr:from>
    <xdr:to>
      <xdr:col>19</xdr:col>
      <xdr:colOff>133344</xdr:colOff>
      <xdr:row>3</xdr:row>
      <xdr:rowOff>158904</xdr:rowOff>
    </xdr:to>
    <xdr:grpSp>
      <xdr:nvGrpSpPr>
        <xdr:cNvPr id="23" name="Group 22">
          <a:hlinkClick xmlns:r="http://schemas.openxmlformats.org/officeDocument/2006/relationships" r:id="rId11" tooltip="Go to Next page"/>
          <a:extLst>
            <a:ext uri="{FF2B5EF4-FFF2-40B4-BE49-F238E27FC236}">
              <a16:creationId xmlns:a16="http://schemas.microsoft.com/office/drawing/2014/main" id="{BE19562F-C7AF-4D16-8944-55F24BBBAF24}"/>
            </a:ext>
          </a:extLst>
        </xdr:cNvPr>
        <xdr:cNvGrpSpPr/>
      </xdr:nvGrpSpPr>
      <xdr:grpSpPr>
        <a:xfrm rot="10800000">
          <a:off x="12445749" y="365125"/>
          <a:ext cx="584445" cy="384329"/>
          <a:chOff x="3185180" y="2135611"/>
          <a:chExt cx="648224" cy="602421"/>
        </a:xfrm>
      </xdr:grpSpPr>
      <xdr:sp macro="" textlink="">
        <xdr:nvSpPr>
          <xdr:cNvPr id="24" name="Rectangle 23">
            <a:extLst>
              <a:ext uri="{FF2B5EF4-FFF2-40B4-BE49-F238E27FC236}">
                <a16:creationId xmlns:a16="http://schemas.microsoft.com/office/drawing/2014/main" id="{BCB1144D-3F1B-3CE6-4779-FD7605C67710}"/>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5" name="Graphic 3" descr="Back with solid fill">
            <a:extLst>
              <a:ext uri="{FF2B5EF4-FFF2-40B4-BE49-F238E27FC236}">
                <a16:creationId xmlns:a16="http://schemas.microsoft.com/office/drawing/2014/main" id="{533DC3C5-BFDB-F0E8-6421-9164EA35BDA6}"/>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6" name="TextBox 25">
            <a:extLst>
              <a:ext uri="{FF2B5EF4-FFF2-40B4-BE49-F238E27FC236}">
                <a16:creationId xmlns:a16="http://schemas.microsoft.com/office/drawing/2014/main" id="{166B00C5-7E82-4B5F-AFE5-C6D35E87152F}"/>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16</xdr:col>
      <xdr:colOff>1533048</xdr:colOff>
      <xdr:row>2</xdr:row>
      <xdr:rowOff>35081</xdr:rowOff>
    </xdr:from>
    <xdr:to>
      <xdr:col>16</xdr:col>
      <xdr:colOff>1787204</xdr:colOff>
      <xdr:row>3</xdr:row>
      <xdr:rowOff>96853</xdr:rowOff>
    </xdr:to>
    <xdr:grpSp>
      <xdr:nvGrpSpPr>
        <xdr:cNvPr id="27" name="Group 26">
          <a:hlinkClick xmlns:r="http://schemas.openxmlformats.org/officeDocument/2006/relationships" r:id="rId12" tooltip="Go to Gallery"/>
          <a:extLst>
            <a:ext uri="{FF2B5EF4-FFF2-40B4-BE49-F238E27FC236}">
              <a16:creationId xmlns:a16="http://schemas.microsoft.com/office/drawing/2014/main" id="{2EE0817D-C185-4B94-ADFE-6821BB150A42}"/>
            </a:ext>
          </a:extLst>
        </xdr:cNvPr>
        <xdr:cNvGrpSpPr/>
      </xdr:nvGrpSpPr>
      <xdr:grpSpPr>
        <a:xfrm>
          <a:off x="11019948" y="422431"/>
          <a:ext cx="254156" cy="264972"/>
          <a:chOff x="5270413" y="829190"/>
          <a:chExt cx="251434" cy="252272"/>
        </a:xfrm>
      </xdr:grpSpPr>
      <xdr:sp macro="" textlink="">
        <xdr:nvSpPr>
          <xdr:cNvPr id="28" name="Rectangle 27">
            <a:extLst>
              <a:ext uri="{FF2B5EF4-FFF2-40B4-BE49-F238E27FC236}">
                <a16:creationId xmlns:a16="http://schemas.microsoft.com/office/drawing/2014/main" id="{042C342E-1296-50E8-CB76-46DD0E4D2BD1}"/>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A21CDCBC-027B-6A03-7857-3CE19BECCCE5}"/>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1D80F213-563C-502A-F2E6-8C90DEDA94E1}"/>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EE729C22-1EF6-DC9C-C532-988E0175E3F2}"/>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805523DE-C13F-D61D-341C-763B1C282C54}"/>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1AB1EF3D-42DD-F18D-06FD-64A123A1AC6C}"/>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2428AA30-FC17-FDF3-3FA3-EA1702EDB635}"/>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 name="Rectangle 34">
            <a:extLst>
              <a:ext uri="{FF2B5EF4-FFF2-40B4-BE49-F238E27FC236}">
                <a16:creationId xmlns:a16="http://schemas.microsoft.com/office/drawing/2014/main" id="{8810B8BA-E741-AA8C-3663-603EF2919868}"/>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 name="Rectangle 35">
            <a:extLst>
              <a:ext uri="{FF2B5EF4-FFF2-40B4-BE49-F238E27FC236}">
                <a16:creationId xmlns:a16="http://schemas.microsoft.com/office/drawing/2014/main" id="{55020618-467C-67F6-0D04-EEB5E1E445EA}"/>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85725</xdr:rowOff>
    </xdr:from>
    <xdr:to>
      <xdr:col>3</xdr:col>
      <xdr:colOff>0</xdr:colOff>
      <xdr:row>4</xdr:row>
      <xdr:rowOff>57150</xdr:rowOff>
    </xdr:to>
    <xdr:sp macro="" textlink="">
      <xdr:nvSpPr>
        <xdr:cNvPr id="37" name="Rectangle 36">
          <a:hlinkClick xmlns:r="http://schemas.openxmlformats.org/officeDocument/2006/relationships" r:id="rId7" tooltip="Visit our website"/>
          <a:extLst>
            <a:ext uri="{FF2B5EF4-FFF2-40B4-BE49-F238E27FC236}">
              <a16:creationId xmlns:a16="http://schemas.microsoft.com/office/drawing/2014/main" id="{FD32777A-C6ED-4D51-B3A1-BC034164D662}"/>
            </a:ext>
          </a:extLst>
        </xdr:cNvPr>
        <xdr:cNvSpPr/>
      </xdr:nvSpPr>
      <xdr:spPr>
        <a:xfrm>
          <a:off x="200025" y="27622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6.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EEB006F6-4DE9-4411-B849-4CFE39D4FF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11</xdr:col>
      <xdr:colOff>161925</xdr:colOff>
      <xdr:row>1</xdr:row>
      <xdr:rowOff>68894</xdr:rowOff>
    </xdr:from>
    <xdr:to>
      <xdr:col>15</xdr:col>
      <xdr:colOff>1333500</xdr:colOff>
      <xdr:row>4</xdr:row>
      <xdr:rowOff>142875</xdr:rowOff>
    </xdr:to>
    <xdr:grpSp>
      <xdr:nvGrpSpPr>
        <xdr:cNvPr id="3" name="Group 2">
          <a:hlinkClick xmlns:r="http://schemas.openxmlformats.org/officeDocument/2006/relationships" r:id="rId2" tooltip="Subscribe to our YouTube Channel"/>
          <a:extLst>
            <a:ext uri="{FF2B5EF4-FFF2-40B4-BE49-F238E27FC236}">
              <a16:creationId xmlns:a16="http://schemas.microsoft.com/office/drawing/2014/main" id="{F5C274B3-9764-4325-BD3B-E132E4C08254}"/>
            </a:ext>
          </a:extLst>
        </xdr:cNvPr>
        <xdr:cNvGrpSpPr/>
      </xdr:nvGrpSpPr>
      <xdr:grpSpPr>
        <a:xfrm>
          <a:off x="5368925" y="253044"/>
          <a:ext cx="3197225" cy="683581"/>
          <a:chOff x="6877050" y="1735769"/>
          <a:chExt cx="3209925" cy="616906"/>
        </a:xfrm>
      </xdr:grpSpPr>
      <xdr:pic>
        <xdr:nvPicPr>
          <xdr:cNvPr id="4" name="Picture 3">
            <a:extLst>
              <a:ext uri="{FF2B5EF4-FFF2-40B4-BE49-F238E27FC236}">
                <a16:creationId xmlns:a16="http://schemas.microsoft.com/office/drawing/2014/main" id="{240D519F-7848-C8BC-9526-55A8AD898C4C}"/>
              </a:ext>
            </a:extLst>
          </xdr:cNvPr>
          <xdr:cNvPicPr>
            <a:picLocks noChangeAspect="1"/>
          </xdr:cNvPicPr>
        </xdr:nvPicPr>
        <xdr:blipFill rotWithShape="1">
          <a:blip xmlns:r="http://schemas.openxmlformats.org/officeDocument/2006/relationships" r:embed="rId3"/>
          <a:srcRect l="21422" r="22564" b="61165"/>
          <a:stretch/>
        </xdr:blipFill>
        <xdr:spPr>
          <a:xfrm>
            <a:off x="6877050" y="1735769"/>
            <a:ext cx="3190875" cy="616906"/>
          </a:xfrm>
          <a:prstGeom prst="roundRect">
            <a:avLst>
              <a:gd name="adj" fmla="val 18431"/>
            </a:avLst>
          </a:prstGeom>
        </xdr:spPr>
      </xdr:pic>
      <xdr:pic>
        <xdr:nvPicPr>
          <xdr:cNvPr id="5" name="Picture 4">
            <a:hlinkClick xmlns:r="http://schemas.openxmlformats.org/officeDocument/2006/relationships" r:id="rId4" tooltip="Subscribe to our YouTube Channel"/>
            <a:extLst>
              <a:ext uri="{FF2B5EF4-FFF2-40B4-BE49-F238E27FC236}">
                <a16:creationId xmlns:a16="http://schemas.microsoft.com/office/drawing/2014/main" id="{763EA036-66E6-D84B-18FC-6392DEF6FEDF}"/>
              </a:ext>
            </a:extLst>
          </xdr:cNvPr>
          <xdr:cNvPicPr>
            <a:picLocks noChangeAspect="1"/>
          </xdr:cNvPicPr>
        </xdr:nvPicPr>
        <xdr:blipFill>
          <a:blip xmlns:r="http://schemas.openxmlformats.org/officeDocument/2006/relationships" r:embed="rId5"/>
          <a:stretch>
            <a:fillRect/>
          </a:stretch>
        </xdr:blipFill>
        <xdr:spPr>
          <a:xfrm>
            <a:off x="8781626" y="1763078"/>
            <a:ext cx="1072787" cy="327858"/>
          </a:xfrm>
          <a:prstGeom prst="roundRect">
            <a:avLst>
              <a:gd name="adj" fmla="val 25491"/>
            </a:avLst>
          </a:prstGeom>
        </xdr:spPr>
      </xdr:pic>
      <xdr:pic>
        <xdr:nvPicPr>
          <xdr:cNvPr id="6" name="Picture 5">
            <a:extLst>
              <a:ext uri="{FF2B5EF4-FFF2-40B4-BE49-F238E27FC236}">
                <a16:creationId xmlns:a16="http://schemas.microsoft.com/office/drawing/2014/main" id="{B86E7870-F78B-D80E-4217-55BD1AB3C966}"/>
              </a:ext>
            </a:extLst>
          </xdr:cNvPr>
          <xdr:cNvPicPr>
            <a:picLocks noChangeAspect="1"/>
          </xdr:cNvPicPr>
        </xdr:nvPicPr>
        <xdr:blipFill>
          <a:blip xmlns:r="http://schemas.openxmlformats.org/officeDocument/2006/relationships" r:embed="rId6"/>
          <a:stretch>
            <a:fillRect/>
          </a:stretch>
        </xdr:blipFill>
        <xdr:spPr>
          <a:xfrm>
            <a:off x="7324725" y="1777199"/>
            <a:ext cx="962025" cy="237126"/>
          </a:xfrm>
          <a:prstGeom prst="roundRect">
            <a:avLst>
              <a:gd name="adj" fmla="val 26144"/>
            </a:avLst>
          </a:prstGeom>
        </xdr:spPr>
      </xdr:pic>
      <xdr:sp macro="" textlink="">
        <xdr:nvSpPr>
          <xdr:cNvPr id="7" name="TextBox 6">
            <a:extLst>
              <a:ext uri="{FF2B5EF4-FFF2-40B4-BE49-F238E27FC236}">
                <a16:creationId xmlns:a16="http://schemas.microsoft.com/office/drawing/2014/main" id="{9E5501F3-549C-63A9-F6AE-4E05EC2F7FC6}"/>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2</xdr:col>
      <xdr:colOff>1724026</xdr:colOff>
      <xdr:row>1</xdr:row>
      <xdr:rowOff>68894</xdr:rowOff>
    </xdr:from>
    <xdr:to>
      <xdr:col>10</xdr:col>
      <xdr:colOff>409575</xdr:colOff>
      <xdr:row>4</xdr:row>
      <xdr:rowOff>142875</xdr:rowOff>
    </xdr:to>
    <xdr:grpSp>
      <xdr:nvGrpSpPr>
        <xdr:cNvPr id="8" name="Group 7">
          <a:hlinkClick xmlns:r="http://schemas.openxmlformats.org/officeDocument/2006/relationships" r:id="rId7" tooltip="Visit our website"/>
          <a:extLst>
            <a:ext uri="{FF2B5EF4-FFF2-40B4-BE49-F238E27FC236}">
              <a16:creationId xmlns:a16="http://schemas.microsoft.com/office/drawing/2014/main" id="{EABE0B9C-223C-42F2-A674-8D1DB722559A}"/>
            </a:ext>
          </a:extLst>
        </xdr:cNvPr>
        <xdr:cNvGrpSpPr/>
      </xdr:nvGrpSpPr>
      <xdr:grpSpPr>
        <a:xfrm>
          <a:off x="2105026" y="253044"/>
          <a:ext cx="3035299" cy="683581"/>
          <a:chOff x="3048001" y="334328"/>
          <a:chExt cx="2724150" cy="616906"/>
        </a:xfrm>
      </xdr:grpSpPr>
      <xdr:pic>
        <xdr:nvPicPr>
          <xdr:cNvPr id="9" name="Picture 8">
            <a:extLst>
              <a:ext uri="{FF2B5EF4-FFF2-40B4-BE49-F238E27FC236}">
                <a16:creationId xmlns:a16="http://schemas.microsoft.com/office/drawing/2014/main" id="{BD965CC4-8284-5A69-E18E-A277315B1FA6}"/>
              </a:ext>
            </a:extLst>
          </xdr:cNvPr>
          <xdr:cNvPicPr>
            <a:picLocks noChangeAspect="1"/>
          </xdr:cNvPicPr>
        </xdr:nvPicPr>
        <xdr:blipFill rotWithShape="1">
          <a:blip xmlns:r="http://schemas.openxmlformats.org/officeDocument/2006/relationships" r:embed="rId3"/>
          <a:srcRect l="21422" r="22564" b="61165"/>
          <a:stretch/>
        </xdr:blipFill>
        <xdr:spPr>
          <a:xfrm>
            <a:off x="3048001" y="334328"/>
            <a:ext cx="2724150" cy="616906"/>
          </a:xfrm>
          <a:prstGeom prst="roundRect">
            <a:avLst>
              <a:gd name="adj" fmla="val 18431"/>
            </a:avLst>
          </a:prstGeom>
        </xdr:spPr>
      </xdr:pic>
      <xdr:sp macro="" textlink="">
        <xdr:nvSpPr>
          <xdr:cNvPr id="10" name="TextBox 9">
            <a:extLst>
              <a:ext uri="{FF2B5EF4-FFF2-40B4-BE49-F238E27FC236}">
                <a16:creationId xmlns:a16="http://schemas.microsoft.com/office/drawing/2014/main" id="{4B8BF52F-0712-F144-E93E-770ED2F7F8E8}"/>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11" name="Picture 10">
            <a:extLst>
              <a:ext uri="{FF2B5EF4-FFF2-40B4-BE49-F238E27FC236}">
                <a16:creationId xmlns:a16="http://schemas.microsoft.com/office/drawing/2014/main" id="{486145FC-45BA-407B-180C-0188F440EC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12" name="TextBox 11">
            <a:extLst>
              <a:ext uri="{FF2B5EF4-FFF2-40B4-BE49-F238E27FC236}">
                <a16:creationId xmlns:a16="http://schemas.microsoft.com/office/drawing/2014/main" id="{EF19AE78-D6F6-D1CA-CBBF-063025C9564B}"/>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16</xdr:col>
      <xdr:colOff>352425</xdr:colOff>
      <xdr:row>2</xdr:row>
      <xdr:rowOff>95252</xdr:rowOff>
    </xdr:from>
    <xdr:to>
      <xdr:col>16</xdr:col>
      <xdr:colOff>1304919</xdr:colOff>
      <xdr:row>3</xdr:row>
      <xdr:rowOff>181202</xdr:rowOff>
    </xdr:to>
    <xdr:grpSp>
      <xdr:nvGrpSpPr>
        <xdr:cNvPr id="13" name="Group 12">
          <a:hlinkClick xmlns:r="http://schemas.openxmlformats.org/officeDocument/2006/relationships" r:id="rId8" tooltip="Go to Cover page"/>
          <a:extLst>
            <a:ext uri="{FF2B5EF4-FFF2-40B4-BE49-F238E27FC236}">
              <a16:creationId xmlns:a16="http://schemas.microsoft.com/office/drawing/2014/main" id="{807E121C-B610-4807-BD63-52F073CC0DCB}"/>
            </a:ext>
          </a:extLst>
        </xdr:cNvPr>
        <xdr:cNvGrpSpPr/>
      </xdr:nvGrpSpPr>
      <xdr:grpSpPr>
        <a:xfrm>
          <a:off x="9839325" y="482602"/>
          <a:ext cx="952494" cy="289150"/>
          <a:chOff x="3615235" y="2135609"/>
          <a:chExt cx="1011478" cy="463990"/>
        </a:xfrm>
      </xdr:grpSpPr>
      <xdr:sp macro="" textlink="">
        <xdr:nvSpPr>
          <xdr:cNvPr id="14" name="Rectangle 13">
            <a:extLst>
              <a:ext uri="{FF2B5EF4-FFF2-40B4-BE49-F238E27FC236}">
                <a16:creationId xmlns:a16="http://schemas.microsoft.com/office/drawing/2014/main" id="{266AE39E-F5A5-4A74-0BB5-ED3EC8AB0CAB}"/>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5" name="Graphic 3" descr="Back with solid fill">
            <a:extLst>
              <a:ext uri="{FF2B5EF4-FFF2-40B4-BE49-F238E27FC236}">
                <a16:creationId xmlns:a16="http://schemas.microsoft.com/office/drawing/2014/main" id="{3147DD64-4F89-72C6-F1D9-042DEDC50D2C}"/>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6" name="TextBox 15">
            <a:extLst>
              <a:ext uri="{FF2B5EF4-FFF2-40B4-BE49-F238E27FC236}">
                <a16:creationId xmlns:a16="http://schemas.microsoft.com/office/drawing/2014/main" id="{49D33098-A025-4745-7D2B-C16E927F04CD}"/>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16</xdr:col>
      <xdr:colOff>2015333</xdr:colOff>
      <xdr:row>2</xdr:row>
      <xdr:rowOff>47627</xdr:rowOff>
    </xdr:from>
    <xdr:to>
      <xdr:col>17</xdr:col>
      <xdr:colOff>451069</xdr:colOff>
      <xdr:row>4</xdr:row>
      <xdr:rowOff>25556</xdr:rowOff>
    </xdr:to>
    <xdr:grpSp>
      <xdr:nvGrpSpPr>
        <xdr:cNvPr id="17" name="Group 16">
          <a:hlinkClick xmlns:r="http://schemas.openxmlformats.org/officeDocument/2006/relationships" r:id="rId9" tooltip="Go to Previous page"/>
          <a:extLst>
            <a:ext uri="{FF2B5EF4-FFF2-40B4-BE49-F238E27FC236}">
              <a16:creationId xmlns:a16="http://schemas.microsoft.com/office/drawing/2014/main" id="{69B808BD-C30D-4C91-9ACD-63A33A1C040A}"/>
            </a:ext>
          </a:extLst>
        </xdr:cNvPr>
        <xdr:cNvGrpSpPr/>
      </xdr:nvGrpSpPr>
      <xdr:grpSpPr>
        <a:xfrm>
          <a:off x="11502233" y="434977"/>
          <a:ext cx="689986" cy="384329"/>
          <a:chOff x="3207261" y="2135607"/>
          <a:chExt cx="689910" cy="602421"/>
        </a:xfrm>
      </xdr:grpSpPr>
      <xdr:sp macro="" textlink="">
        <xdr:nvSpPr>
          <xdr:cNvPr id="18" name="Rectangle 17">
            <a:extLst>
              <a:ext uri="{FF2B5EF4-FFF2-40B4-BE49-F238E27FC236}">
                <a16:creationId xmlns:a16="http://schemas.microsoft.com/office/drawing/2014/main" id="{A0E85B5D-FF27-C1EA-D081-ECE6FF972EC0}"/>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Graphic 3" descr="Back with solid fill">
            <a:extLst>
              <a:ext uri="{FF2B5EF4-FFF2-40B4-BE49-F238E27FC236}">
                <a16:creationId xmlns:a16="http://schemas.microsoft.com/office/drawing/2014/main" id="{CBA0AF36-1E73-779F-23CC-16304B3F3D86}"/>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0" name="TextBox 19">
            <a:extLst>
              <a:ext uri="{FF2B5EF4-FFF2-40B4-BE49-F238E27FC236}">
                <a16:creationId xmlns:a16="http://schemas.microsoft.com/office/drawing/2014/main" id="{E2332C05-074E-F8CC-03F1-A9F694805DDD}"/>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18</xdr:col>
      <xdr:colOff>145799</xdr:colOff>
      <xdr:row>2</xdr:row>
      <xdr:rowOff>47625</xdr:rowOff>
    </xdr:from>
    <xdr:to>
      <xdr:col>19</xdr:col>
      <xdr:colOff>133344</xdr:colOff>
      <xdr:row>4</xdr:row>
      <xdr:rowOff>25554</xdr:rowOff>
    </xdr:to>
    <xdr:grpSp>
      <xdr:nvGrpSpPr>
        <xdr:cNvPr id="21" name="Group 20">
          <a:hlinkClick xmlns:r="http://schemas.openxmlformats.org/officeDocument/2006/relationships" r:id="rId10" tooltip="Go to Next page"/>
          <a:extLst>
            <a:ext uri="{FF2B5EF4-FFF2-40B4-BE49-F238E27FC236}">
              <a16:creationId xmlns:a16="http://schemas.microsoft.com/office/drawing/2014/main" id="{2D5AADE7-AF35-4205-B53F-A87CACC99DFD}"/>
            </a:ext>
          </a:extLst>
        </xdr:cNvPr>
        <xdr:cNvGrpSpPr/>
      </xdr:nvGrpSpPr>
      <xdr:grpSpPr>
        <a:xfrm rot="10800000">
          <a:off x="12445749" y="434975"/>
          <a:ext cx="584445" cy="384329"/>
          <a:chOff x="3185180" y="2135611"/>
          <a:chExt cx="648224" cy="602421"/>
        </a:xfrm>
      </xdr:grpSpPr>
      <xdr:sp macro="" textlink="">
        <xdr:nvSpPr>
          <xdr:cNvPr id="22" name="Rectangle 21">
            <a:extLst>
              <a:ext uri="{FF2B5EF4-FFF2-40B4-BE49-F238E27FC236}">
                <a16:creationId xmlns:a16="http://schemas.microsoft.com/office/drawing/2014/main" id="{244EC988-54E3-A7F0-4C9F-1246AA44FF2C}"/>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3" name="Graphic 3" descr="Back with solid fill">
            <a:extLst>
              <a:ext uri="{FF2B5EF4-FFF2-40B4-BE49-F238E27FC236}">
                <a16:creationId xmlns:a16="http://schemas.microsoft.com/office/drawing/2014/main" id="{00514557-F5E5-B216-4593-DBF9ABD23471}"/>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4" name="TextBox 23">
            <a:extLst>
              <a:ext uri="{FF2B5EF4-FFF2-40B4-BE49-F238E27FC236}">
                <a16:creationId xmlns:a16="http://schemas.microsoft.com/office/drawing/2014/main" id="{6830E35C-25EE-AC70-FB25-742B3455CF02}"/>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16</xdr:col>
      <xdr:colOff>1533048</xdr:colOff>
      <xdr:row>2</xdr:row>
      <xdr:rowOff>92231</xdr:rowOff>
    </xdr:from>
    <xdr:to>
      <xdr:col>16</xdr:col>
      <xdr:colOff>1787204</xdr:colOff>
      <xdr:row>3</xdr:row>
      <xdr:rowOff>154003</xdr:rowOff>
    </xdr:to>
    <xdr:grpSp>
      <xdr:nvGrpSpPr>
        <xdr:cNvPr id="25" name="Group 24">
          <a:hlinkClick xmlns:r="http://schemas.openxmlformats.org/officeDocument/2006/relationships" r:id="rId11" tooltip="Go to Gallery"/>
          <a:extLst>
            <a:ext uri="{FF2B5EF4-FFF2-40B4-BE49-F238E27FC236}">
              <a16:creationId xmlns:a16="http://schemas.microsoft.com/office/drawing/2014/main" id="{A8E38014-470A-48B0-840A-6067659B2B19}"/>
            </a:ext>
          </a:extLst>
        </xdr:cNvPr>
        <xdr:cNvGrpSpPr/>
      </xdr:nvGrpSpPr>
      <xdr:grpSpPr>
        <a:xfrm>
          <a:off x="11019948" y="479581"/>
          <a:ext cx="254156" cy="264972"/>
          <a:chOff x="5270413" y="829190"/>
          <a:chExt cx="251434" cy="252272"/>
        </a:xfrm>
      </xdr:grpSpPr>
      <xdr:sp macro="" textlink="">
        <xdr:nvSpPr>
          <xdr:cNvPr id="26" name="Rectangle 25">
            <a:extLst>
              <a:ext uri="{FF2B5EF4-FFF2-40B4-BE49-F238E27FC236}">
                <a16:creationId xmlns:a16="http://schemas.microsoft.com/office/drawing/2014/main" id="{161A0708-5729-1965-7C62-9E1AC12DCD10}"/>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9CF28222-8984-DD21-C239-F2CBF8CC33D8}"/>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CF54E7EB-254E-AE16-774F-B83AAFC2723F}"/>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F5C66A20-B73E-96AD-2D34-3C44BC6138CC}"/>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819F85C5-D314-B43C-361B-ADABC103F14E}"/>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CB7CC595-32E8-E8D7-3765-80A2CCDA33A6}"/>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1310A2ED-F956-6C5C-3227-4D27765B6F85}"/>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2D3830FC-C8B9-AA64-B81D-662F6F8C37F6}"/>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3B99ACAE-E8C3-A232-0ECA-7D43F6153B60}"/>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66675</xdr:rowOff>
    </xdr:from>
    <xdr:to>
      <xdr:col>3</xdr:col>
      <xdr:colOff>0</xdr:colOff>
      <xdr:row>4</xdr:row>
      <xdr:rowOff>38100</xdr:rowOff>
    </xdr:to>
    <xdr:sp macro="" textlink="">
      <xdr:nvSpPr>
        <xdr:cNvPr id="35" name="Rectangle 34">
          <a:hlinkClick xmlns:r="http://schemas.openxmlformats.org/officeDocument/2006/relationships" r:id="rId7" tooltip="Visit our website"/>
          <a:extLst>
            <a:ext uri="{FF2B5EF4-FFF2-40B4-BE49-F238E27FC236}">
              <a16:creationId xmlns:a16="http://schemas.microsoft.com/office/drawing/2014/main" id="{28CC4884-8EC6-44F1-861F-041DA945F67E}"/>
            </a:ext>
          </a:extLst>
        </xdr:cNvPr>
        <xdr:cNvSpPr/>
      </xdr:nvSpPr>
      <xdr:spPr>
        <a:xfrm>
          <a:off x="200025" y="2571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7.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A464286F-3980-4B6C-8A03-21EFE022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11</xdr:col>
      <xdr:colOff>171449</xdr:colOff>
      <xdr:row>1</xdr:row>
      <xdr:rowOff>68894</xdr:rowOff>
    </xdr:from>
    <xdr:to>
      <xdr:col>15</xdr:col>
      <xdr:colOff>1314449</xdr:colOff>
      <xdr:row>4</xdr:row>
      <xdr:rowOff>142875</xdr:rowOff>
    </xdr:to>
    <xdr:grpSp>
      <xdr:nvGrpSpPr>
        <xdr:cNvPr id="3" name="Group 2">
          <a:hlinkClick xmlns:r="http://schemas.openxmlformats.org/officeDocument/2006/relationships" r:id="rId2" tooltip="Subscribe to our YouTube Channel"/>
          <a:extLst>
            <a:ext uri="{FF2B5EF4-FFF2-40B4-BE49-F238E27FC236}">
              <a16:creationId xmlns:a16="http://schemas.microsoft.com/office/drawing/2014/main" id="{13EC6ADA-5BF0-4711-A19A-1AEBD3D12ACD}"/>
            </a:ext>
          </a:extLst>
        </xdr:cNvPr>
        <xdr:cNvGrpSpPr/>
      </xdr:nvGrpSpPr>
      <xdr:grpSpPr>
        <a:xfrm>
          <a:off x="5378449" y="253044"/>
          <a:ext cx="3168650" cy="683581"/>
          <a:chOff x="6877050" y="1735769"/>
          <a:chExt cx="3209925" cy="616906"/>
        </a:xfrm>
      </xdr:grpSpPr>
      <xdr:pic>
        <xdr:nvPicPr>
          <xdr:cNvPr id="4" name="Picture 3">
            <a:extLst>
              <a:ext uri="{FF2B5EF4-FFF2-40B4-BE49-F238E27FC236}">
                <a16:creationId xmlns:a16="http://schemas.microsoft.com/office/drawing/2014/main" id="{7F94111E-D4AC-D3D7-A341-B999FC7E0FFA}"/>
              </a:ext>
            </a:extLst>
          </xdr:cNvPr>
          <xdr:cNvPicPr>
            <a:picLocks noChangeAspect="1"/>
          </xdr:cNvPicPr>
        </xdr:nvPicPr>
        <xdr:blipFill rotWithShape="1">
          <a:blip xmlns:r="http://schemas.openxmlformats.org/officeDocument/2006/relationships" r:embed="rId3"/>
          <a:srcRect l="21422" r="22564" b="61165"/>
          <a:stretch/>
        </xdr:blipFill>
        <xdr:spPr>
          <a:xfrm>
            <a:off x="6877050" y="1735769"/>
            <a:ext cx="3190875" cy="616906"/>
          </a:xfrm>
          <a:prstGeom prst="roundRect">
            <a:avLst>
              <a:gd name="adj" fmla="val 18431"/>
            </a:avLst>
          </a:prstGeom>
        </xdr:spPr>
      </xdr:pic>
      <xdr:pic>
        <xdr:nvPicPr>
          <xdr:cNvPr id="5" name="Picture 4">
            <a:hlinkClick xmlns:r="http://schemas.openxmlformats.org/officeDocument/2006/relationships" r:id="rId4" tooltip="Subscribe to our YouTube Channel"/>
            <a:extLst>
              <a:ext uri="{FF2B5EF4-FFF2-40B4-BE49-F238E27FC236}">
                <a16:creationId xmlns:a16="http://schemas.microsoft.com/office/drawing/2014/main" id="{AC75BD5A-8574-1E6D-FA51-850B4A0F1043}"/>
              </a:ext>
            </a:extLst>
          </xdr:cNvPr>
          <xdr:cNvPicPr>
            <a:picLocks noChangeAspect="1"/>
          </xdr:cNvPicPr>
        </xdr:nvPicPr>
        <xdr:blipFill>
          <a:blip xmlns:r="http://schemas.openxmlformats.org/officeDocument/2006/relationships" r:embed="rId5"/>
          <a:stretch>
            <a:fillRect/>
          </a:stretch>
        </xdr:blipFill>
        <xdr:spPr>
          <a:xfrm>
            <a:off x="8781626" y="1763078"/>
            <a:ext cx="1072787" cy="327858"/>
          </a:xfrm>
          <a:prstGeom prst="roundRect">
            <a:avLst>
              <a:gd name="adj" fmla="val 25491"/>
            </a:avLst>
          </a:prstGeom>
        </xdr:spPr>
      </xdr:pic>
      <xdr:pic>
        <xdr:nvPicPr>
          <xdr:cNvPr id="6" name="Picture 5">
            <a:extLst>
              <a:ext uri="{FF2B5EF4-FFF2-40B4-BE49-F238E27FC236}">
                <a16:creationId xmlns:a16="http://schemas.microsoft.com/office/drawing/2014/main" id="{BF482789-08DA-5CE6-D66E-4B209D50FD41}"/>
              </a:ext>
            </a:extLst>
          </xdr:cNvPr>
          <xdr:cNvPicPr>
            <a:picLocks noChangeAspect="1"/>
          </xdr:cNvPicPr>
        </xdr:nvPicPr>
        <xdr:blipFill>
          <a:blip xmlns:r="http://schemas.openxmlformats.org/officeDocument/2006/relationships" r:embed="rId6"/>
          <a:stretch>
            <a:fillRect/>
          </a:stretch>
        </xdr:blipFill>
        <xdr:spPr>
          <a:xfrm>
            <a:off x="7324725" y="1777199"/>
            <a:ext cx="962025" cy="237126"/>
          </a:xfrm>
          <a:prstGeom prst="roundRect">
            <a:avLst>
              <a:gd name="adj" fmla="val 26144"/>
            </a:avLst>
          </a:prstGeom>
        </xdr:spPr>
      </xdr:pic>
      <xdr:sp macro="" textlink="">
        <xdr:nvSpPr>
          <xdr:cNvPr id="7" name="TextBox 6">
            <a:extLst>
              <a:ext uri="{FF2B5EF4-FFF2-40B4-BE49-F238E27FC236}">
                <a16:creationId xmlns:a16="http://schemas.microsoft.com/office/drawing/2014/main" id="{7478894E-275B-611A-7A46-F85E77C8E4D4}"/>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2</xdr:col>
      <xdr:colOff>1733551</xdr:colOff>
      <xdr:row>1</xdr:row>
      <xdr:rowOff>68894</xdr:rowOff>
    </xdr:from>
    <xdr:to>
      <xdr:col>10</xdr:col>
      <xdr:colOff>419100</xdr:colOff>
      <xdr:row>4</xdr:row>
      <xdr:rowOff>142875</xdr:rowOff>
    </xdr:to>
    <xdr:grpSp>
      <xdr:nvGrpSpPr>
        <xdr:cNvPr id="8" name="Group 7">
          <a:hlinkClick xmlns:r="http://schemas.openxmlformats.org/officeDocument/2006/relationships" r:id="rId7" tooltip="Visit our website"/>
          <a:extLst>
            <a:ext uri="{FF2B5EF4-FFF2-40B4-BE49-F238E27FC236}">
              <a16:creationId xmlns:a16="http://schemas.microsoft.com/office/drawing/2014/main" id="{20C090D4-CA1E-413C-B697-ADC072B7300F}"/>
            </a:ext>
          </a:extLst>
        </xdr:cNvPr>
        <xdr:cNvGrpSpPr/>
      </xdr:nvGrpSpPr>
      <xdr:grpSpPr>
        <a:xfrm>
          <a:off x="2114551" y="253044"/>
          <a:ext cx="3035299" cy="683581"/>
          <a:chOff x="3048001" y="334328"/>
          <a:chExt cx="2724150" cy="616906"/>
        </a:xfrm>
      </xdr:grpSpPr>
      <xdr:pic>
        <xdr:nvPicPr>
          <xdr:cNvPr id="9" name="Picture 8">
            <a:extLst>
              <a:ext uri="{FF2B5EF4-FFF2-40B4-BE49-F238E27FC236}">
                <a16:creationId xmlns:a16="http://schemas.microsoft.com/office/drawing/2014/main" id="{AC0A18BC-34BC-6295-121E-9D8EBCC8AA44}"/>
              </a:ext>
            </a:extLst>
          </xdr:cNvPr>
          <xdr:cNvPicPr>
            <a:picLocks noChangeAspect="1"/>
          </xdr:cNvPicPr>
        </xdr:nvPicPr>
        <xdr:blipFill rotWithShape="1">
          <a:blip xmlns:r="http://schemas.openxmlformats.org/officeDocument/2006/relationships" r:embed="rId3"/>
          <a:srcRect l="21422" r="22564" b="61165"/>
          <a:stretch/>
        </xdr:blipFill>
        <xdr:spPr>
          <a:xfrm>
            <a:off x="3048001" y="334328"/>
            <a:ext cx="2724150" cy="616906"/>
          </a:xfrm>
          <a:prstGeom prst="roundRect">
            <a:avLst>
              <a:gd name="adj" fmla="val 18431"/>
            </a:avLst>
          </a:prstGeom>
        </xdr:spPr>
      </xdr:pic>
      <xdr:sp macro="" textlink="">
        <xdr:nvSpPr>
          <xdr:cNvPr id="10" name="TextBox 9">
            <a:extLst>
              <a:ext uri="{FF2B5EF4-FFF2-40B4-BE49-F238E27FC236}">
                <a16:creationId xmlns:a16="http://schemas.microsoft.com/office/drawing/2014/main" id="{7E3014F0-358B-6BAC-4781-1B0FF0B10085}"/>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11" name="Picture 10">
            <a:extLst>
              <a:ext uri="{FF2B5EF4-FFF2-40B4-BE49-F238E27FC236}">
                <a16:creationId xmlns:a16="http://schemas.microsoft.com/office/drawing/2014/main" id="{3552AF5A-BF86-7CA6-9F7C-73F6BDD43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12" name="TextBox 11">
            <a:extLst>
              <a:ext uri="{FF2B5EF4-FFF2-40B4-BE49-F238E27FC236}">
                <a16:creationId xmlns:a16="http://schemas.microsoft.com/office/drawing/2014/main" id="{03413A3B-C9C7-0ADB-34FE-E9C681CE2A45}"/>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16</xdr:col>
      <xdr:colOff>361950</xdr:colOff>
      <xdr:row>2</xdr:row>
      <xdr:rowOff>47627</xdr:rowOff>
    </xdr:from>
    <xdr:to>
      <xdr:col>16</xdr:col>
      <xdr:colOff>1314444</xdr:colOff>
      <xdr:row>3</xdr:row>
      <xdr:rowOff>133577</xdr:rowOff>
    </xdr:to>
    <xdr:grpSp>
      <xdr:nvGrpSpPr>
        <xdr:cNvPr id="13" name="Group 12">
          <a:hlinkClick xmlns:r="http://schemas.openxmlformats.org/officeDocument/2006/relationships" r:id="rId8" tooltip="Go to Cover page"/>
          <a:extLst>
            <a:ext uri="{FF2B5EF4-FFF2-40B4-BE49-F238E27FC236}">
              <a16:creationId xmlns:a16="http://schemas.microsoft.com/office/drawing/2014/main" id="{02D09CD1-64E3-49B8-8874-6534B66FCCE9}"/>
            </a:ext>
          </a:extLst>
        </xdr:cNvPr>
        <xdr:cNvGrpSpPr/>
      </xdr:nvGrpSpPr>
      <xdr:grpSpPr>
        <a:xfrm>
          <a:off x="9848850" y="434977"/>
          <a:ext cx="952494" cy="289150"/>
          <a:chOff x="3615235" y="2135609"/>
          <a:chExt cx="1011478" cy="463990"/>
        </a:xfrm>
      </xdr:grpSpPr>
      <xdr:sp macro="" textlink="">
        <xdr:nvSpPr>
          <xdr:cNvPr id="14" name="Rectangle 13">
            <a:extLst>
              <a:ext uri="{FF2B5EF4-FFF2-40B4-BE49-F238E27FC236}">
                <a16:creationId xmlns:a16="http://schemas.microsoft.com/office/drawing/2014/main" id="{D0409F61-EBE3-318F-26F9-5B68E5551057}"/>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5" name="Graphic 3" descr="Back with solid fill">
            <a:extLst>
              <a:ext uri="{FF2B5EF4-FFF2-40B4-BE49-F238E27FC236}">
                <a16:creationId xmlns:a16="http://schemas.microsoft.com/office/drawing/2014/main" id="{C7CA2280-F74D-B997-B7C4-BC82295D22CB}"/>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6" name="TextBox 15">
            <a:extLst>
              <a:ext uri="{FF2B5EF4-FFF2-40B4-BE49-F238E27FC236}">
                <a16:creationId xmlns:a16="http://schemas.microsoft.com/office/drawing/2014/main" id="{ADAC7B62-8460-D29A-DC0D-971F28BE78FF}"/>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16</xdr:col>
      <xdr:colOff>2024858</xdr:colOff>
      <xdr:row>2</xdr:row>
      <xdr:rowOff>2</xdr:rowOff>
    </xdr:from>
    <xdr:to>
      <xdr:col>17</xdr:col>
      <xdr:colOff>460594</xdr:colOff>
      <xdr:row>3</xdr:row>
      <xdr:rowOff>168431</xdr:rowOff>
    </xdr:to>
    <xdr:grpSp>
      <xdr:nvGrpSpPr>
        <xdr:cNvPr id="17" name="Group 16">
          <a:hlinkClick xmlns:r="http://schemas.openxmlformats.org/officeDocument/2006/relationships" r:id="rId9" tooltip="Go to Previous page"/>
          <a:extLst>
            <a:ext uri="{FF2B5EF4-FFF2-40B4-BE49-F238E27FC236}">
              <a16:creationId xmlns:a16="http://schemas.microsoft.com/office/drawing/2014/main" id="{42B7457C-16CA-48A4-8CD4-68FB786792DA}"/>
            </a:ext>
          </a:extLst>
        </xdr:cNvPr>
        <xdr:cNvGrpSpPr/>
      </xdr:nvGrpSpPr>
      <xdr:grpSpPr>
        <a:xfrm>
          <a:off x="11511758" y="387352"/>
          <a:ext cx="689986" cy="371629"/>
          <a:chOff x="3207261" y="2135607"/>
          <a:chExt cx="689910" cy="602421"/>
        </a:xfrm>
      </xdr:grpSpPr>
      <xdr:sp macro="" textlink="">
        <xdr:nvSpPr>
          <xdr:cNvPr id="18" name="Rectangle 17">
            <a:extLst>
              <a:ext uri="{FF2B5EF4-FFF2-40B4-BE49-F238E27FC236}">
                <a16:creationId xmlns:a16="http://schemas.microsoft.com/office/drawing/2014/main" id="{502EF0B9-1A30-EE7E-8EA2-CDC795CC3A6C}"/>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Graphic 3" descr="Back with solid fill">
            <a:extLst>
              <a:ext uri="{FF2B5EF4-FFF2-40B4-BE49-F238E27FC236}">
                <a16:creationId xmlns:a16="http://schemas.microsoft.com/office/drawing/2014/main" id="{BA695108-43C2-B622-FBC2-17B66053DBC3}"/>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0" name="TextBox 19">
            <a:extLst>
              <a:ext uri="{FF2B5EF4-FFF2-40B4-BE49-F238E27FC236}">
                <a16:creationId xmlns:a16="http://schemas.microsoft.com/office/drawing/2014/main" id="{48930E17-3BDF-F314-16C9-8BC639116F34}"/>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18</xdr:col>
      <xdr:colOff>155324</xdr:colOff>
      <xdr:row>2</xdr:row>
      <xdr:rowOff>0</xdr:rowOff>
    </xdr:from>
    <xdr:to>
      <xdr:col>19</xdr:col>
      <xdr:colOff>142869</xdr:colOff>
      <xdr:row>3</xdr:row>
      <xdr:rowOff>168429</xdr:rowOff>
    </xdr:to>
    <xdr:grpSp>
      <xdr:nvGrpSpPr>
        <xdr:cNvPr id="21" name="Group 20">
          <a:hlinkClick xmlns:r="http://schemas.openxmlformats.org/officeDocument/2006/relationships" r:id="rId10" tooltip="Go to Next page"/>
          <a:extLst>
            <a:ext uri="{FF2B5EF4-FFF2-40B4-BE49-F238E27FC236}">
              <a16:creationId xmlns:a16="http://schemas.microsoft.com/office/drawing/2014/main" id="{FAC7A730-C022-445C-8627-DC5628EADE1A}"/>
            </a:ext>
          </a:extLst>
        </xdr:cNvPr>
        <xdr:cNvGrpSpPr/>
      </xdr:nvGrpSpPr>
      <xdr:grpSpPr>
        <a:xfrm rot="10800000">
          <a:off x="12455274" y="387350"/>
          <a:ext cx="584445" cy="371629"/>
          <a:chOff x="3185180" y="2135611"/>
          <a:chExt cx="648224" cy="602421"/>
        </a:xfrm>
      </xdr:grpSpPr>
      <xdr:sp macro="" textlink="">
        <xdr:nvSpPr>
          <xdr:cNvPr id="22" name="Rectangle 21">
            <a:extLst>
              <a:ext uri="{FF2B5EF4-FFF2-40B4-BE49-F238E27FC236}">
                <a16:creationId xmlns:a16="http://schemas.microsoft.com/office/drawing/2014/main" id="{B108B989-5074-A06F-1E06-4A956E3B5180}"/>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3" name="Graphic 3" descr="Back with solid fill">
            <a:extLst>
              <a:ext uri="{FF2B5EF4-FFF2-40B4-BE49-F238E27FC236}">
                <a16:creationId xmlns:a16="http://schemas.microsoft.com/office/drawing/2014/main" id="{B7B02BA8-5F88-D9FC-F0B7-E6CB10C02454}"/>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4" name="TextBox 23">
            <a:extLst>
              <a:ext uri="{FF2B5EF4-FFF2-40B4-BE49-F238E27FC236}">
                <a16:creationId xmlns:a16="http://schemas.microsoft.com/office/drawing/2014/main" id="{1D48BC0B-F5BD-1C59-173C-93FF9C2BEFE7}"/>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16</xdr:col>
      <xdr:colOff>1542573</xdr:colOff>
      <xdr:row>2</xdr:row>
      <xdr:rowOff>44606</xdr:rowOff>
    </xdr:from>
    <xdr:to>
      <xdr:col>16</xdr:col>
      <xdr:colOff>1796729</xdr:colOff>
      <xdr:row>3</xdr:row>
      <xdr:rowOff>106378</xdr:rowOff>
    </xdr:to>
    <xdr:grpSp>
      <xdr:nvGrpSpPr>
        <xdr:cNvPr id="25" name="Group 24">
          <a:hlinkClick xmlns:r="http://schemas.openxmlformats.org/officeDocument/2006/relationships" r:id="rId11" tooltip="Go to Gallery"/>
          <a:extLst>
            <a:ext uri="{FF2B5EF4-FFF2-40B4-BE49-F238E27FC236}">
              <a16:creationId xmlns:a16="http://schemas.microsoft.com/office/drawing/2014/main" id="{54F482FE-49DB-47E0-A554-E9B5ED447732}"/>
            </a:ext>
          </a:extLst>
        </xdr:cNvPr>
        <xdr:cNvGrpSpPr/>
      </xdr:nvGrpSpPr>
      <xdr:grpSpPr>
        <a:xfrm>
          <a:off x="11029473" y="431956"/>
          <a:ext cx="254156" cy="264972"/>
          <a:chOff x="5270413" y="829190"/>
          <a:chExt cx="251434" cy="252272"/>
        </a:xfrm>
      </xdr:grpSpPr>
      <xdr:sp macro="" textlink="">
        <xdr:nvSpPr>
          <xdr:cNvPr id="26" name="Rectangle 25">
            <a:extLst>
              <a:ext uri="{FF2B5EF4-FFF2-40B4-BE49-F238E27FC236}">
                <a16:creationId xmlns:a16="http://schemas.microsoft.com/office/drawing/2014/main" id="{11193D5C-01E6-DD46-91D9-70F2067E4234}"/>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DFEABBF9-165A-6C69-EFA4-F112FC512318}"/>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1D8CDE63-E441-D6FF-3485-C53E7B8ABEC5}"/>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1A6C85E0-F9C0-AD0D-3E78-8FDAE36AD2DE}"/>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2260AB05-37CA-5616-8879-CF57334295B9}"/>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D827D86A-6D96-2D0E-4034-E6A9C21BEA89}"/>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49B97DAD-9F95-9D8C-7E76-1C0BD95E2A8A}"/>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2F8A2C18-95F1-C64D-C685-624DDD6AFAFA}"/>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9846F214-032D-CCA4-6E53-28A41D6D3450}"/>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47625</xdr:rowOff>
    </xdr:from>
    <xdr:to>
      <xdr:col>3</xdr:col>
      <xdr:colOff>0</xdr:colOff>
      <xdr:row>4</xdr:row>
      <xdr:rowOff>19050</xdr:rowOff>
    </xdr:to>
    <xdr:sp macro="" textlink="">
      <xdr:nvSpPr>
        <xdr:cNvPr id="35" name="Rectangle 34">
          <a:hlinkClick xmlns:r="http://schemas.openxmlformats.org/officeDocument/2006/relationships" r:id="rId7" tooltip="Visit our website"/>
          <a:extLst>
            <a:ext uri="{FF2B5EF4-FFF2-40B4-BE49-F238E27FC236}">
              <a16:creationId xmlns:a16="http://schemas.microsoft.com/office/drawing/2014/main" id="{596CCA99-274E-46E2-97DC-88F45A4E00CF}"/>
            </a:ext>
          </a:extLst>
        </xdr:cNvPr>
        <xdr:cNvSpPr/>
      </xdr:nvSpPr>
      <xdr:spPr>
        <a:xfrm>
          <a:off x="200025" y="23812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8.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2A6283BD-321F-48C0-A3D8-C49E4B722D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11</xdr:col>
      <xdr:colOff>276225</xdr:colOff>
      <xdr:row>1</xdr:row>
      <xdr:rowOff>68894</xdr:rowOff>
    </xdr:from>
    <xdr:to>
      <xdr:col>15</xdr:col>
      <xdr:colOff>1428750</xdr:colOff>
      <xdr:row>4</xdr:row>
      <xdr:rowOff>142875</xdr:rowOff>
    </xdr:to>
    <xdr:grpSp>
      <xdr:nvGrpSpPr>
        <xdr:cNvPr id="3" name="Group 2">
          <a:hlinkClick xmlns:r="http://schemas.openxmlformats.org/officeDocument/2006/relationships" r:id="rId2" tooltip="Subscribe to our YouTube Channel"/>
          <a:extLst>
            <a:ext uri="{FF2B5EF4-FFF2-40B4-BE49-F238E27FC236}">
              <a16:creationId xmlns:a16="http://schemas.microsoft.com/office/drawing/2014/main" id="{4B5AAA24-9F55-4489-AD48-27725972DD73}"/>
            </a:ext>
          </a:extLst>
        </xdr:cNvPr>
        <xdr:cNvGrpSpPr/>
      </xdr:nvGrpSpPr>
      <xdr:grpSpPr>
        <a:xfrm>
          <a:off x="5483225" y="253044"/>
          <a:ext cx="3178175" cy="683581"/>
          <a:chOff x="6877050" y="1735769"/>
          <a:chExt cx="3209925" cy="616906"/>
        </a:xfrm>
      </xdr:grpSpPr>
      <xdr:pic>
        <xdr:nvPicPr>
          <xdr:cNvPr id="4" name="Picture 3">
            <a:extLst>
              <a:ext uri="{FF2B5EF4-FFF2-40B4-BE49-F238E27FC236}">
                <a16:creationId xmlns:a16="http://schemas.microsoft.com/office/drawing/2014/main" id="{0491C7E6-F97F-32F0-5A36-1CAD2BD765D3}"/>
              </a:ext>
            </a:extLst>
          </xdr:cNvPr>
          <xdr:cNvPicPr>
            <a:picLocks noChangeAspect="1"/>
          </xdr:cNvPicPr>
        </xdr:nvPicPr>
        <xdr:blipFill rotWithShape="1">
          <a:blip xmlns:r="http://schemas.openxmlformats.org/officeDocument/2006/relationships" r:embed="rId3"/>
          <a:srcRect l="21422" r="22564" b="61165"/>
          <a:stretch/>
        </xdr:blipFill>
        <xdr:spPr>
          <a:xfrm>
            <a:off x="6877050" y="1735769"/>
            <a:ext cx="3190875" cy="616906"/>
          </a:xfrm>
          <a:prstGeom prst="roundRect">
            <a:avLst>
              <a:gd name="adj" fmla="val 18431"/>
            </a:avLst>
          </a:prstGeom>
        </xdr:spPr>
      </xdr:pic>
      <xdr:pic>
        <xdr:nvPicPr>
          <xdr:cNvPr id="5" name="Picture 4">
            <a:hlinkClick xmlns:r="http://schemas.openxmlformats.org/officeDocument/2006/relationships" r:id="rId4" tooltip="Subscribe to our YouTube Channel"/>
            <a:extLst>
              <a:ext uri="{FF2B5EF4-FFF2-40B4-BE49-F238E27FC236}">
                <a16:creationId xmlns:a16="http://schemas.microsoft.com/office/drawing/2014/main" id="{EB460A14-2FE0-53A0-F95C-3A0D6F5D2CFF}"/>
              </a:ext>
            </a:extLst>
          </xdr:cNvPr>
          <xdr:cNvPicPr>
            <a:picLocks noChangeAspect="1"/>
          </xdr:cNvPicPr>
        </xdr:nvPicPr>
        <xdr:blipFill>
          <a:blip xmlns:r="http://schemas.openxmlformats.org/officeDocument/2006/relationships" r:embed="rId5"/>
          <a:stretch>
            <a:fillRect/>
          </a:stretch>
        </xdr:blipFill>
        <xdr:spPr>
          <a:xfrm>
            <a:off x="8781626" y="1763078"/>
            <a:ext cx="1072787" cy="327858"/>
          </a:xfrm>
          <a:prstGeom prst="roundRect">
            <a:avLst>
              <a:gd name="adj" fmla="val 25491"/>
            </a:avLst>
          </a:prstGeom>
        </xdr:spPr>
      </xdr:pic>
      <xdr:pic>
        <xdr:nvPicPr>
          <xdr:cNvPr id="6" name="Picture 5">
            <a:extLst>
              <a:ext uri="{FF2B5EF4-FFF2-40B4-BE49-F238E27FC236}">
                <a16:creationId xmlns:a16="http://schemas.microsoft.com/office/drawing/2014/main" id="{383323F2-CCD1-FD38-13A1-B412C5EFE0C1}"/>
              </a:ext>
            </a:extLst>
          </xdr:cNvPr>
          <xdr:cNvPicPr>
            <a:picLocks noChangeAspect="1"/>
          </xdr:cNvPicPr>
        </xdr:nvPicPr>
        <xdr:blipFill>
          <a:blip xmlns:r="http://schemas.openxmlformats.org/officeDocument/2006/relationships" r:embed="rId6"/>
          <a:stretch>
            <a:fillRect/>
          </a:stretch>
        </xdr:blipFill>
        <xdr:spPr>
          <a:xfrm>
            <a:off x="7324725" y="1777199"/>
            <a:ext cx="962025" cy="237126"/>
          </a:xfrm>
          <a:prstGeom prst="roundRect">
            <a:avLst>
              <a:gd name="adj" fmla="val 26144"/>
            </a:avLst>
          </a:prstGeom>
        </xdr:spPr>
      </xdr:pic>
      <xdr:sp macro="" textlink="">
        <xdr:nvSpPr>
          <xdr:cNvPr id="7" name="TextBox 6">
            <a:extLst>
              <a:ext uri="{FF2B5EF4-FFF2-40B4-BE49-F238E27FC236}">
                <a16:creationId xmlns:a16="http://schemas.microsoft.com/office/drawing/2014/main" id="{A5AFE01A-6DA5-08CA-41C5-887CF8F9D1DE}"/>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3</xdr:col>
      <xdr:colOff>76201</xdr:colOff>
      <xdr:row>1</xdr:row>
      <xdr:rowOff>68894</xdr:rowOff>
    </xdr:from>
    <xdr:to>
      <xdr:col>11</xdr:col>
      <xdr:colOff>66675</xdr:colOff>
      <xdr:row>4</xdr:row>
      <xdr:rowOff>142875</xdr:rowOff>
    </xdr:to>
    <xdr:grpSp>
      <xdr:nvGrpSpPr>
        <xdr:cNvPr id="8" name="Group 7">
          <a:hlinkClick xmlns:r="http://schemas.openxmlformats.org/officeDocument/2006/relationships" r:id="rId7" tooltip="Visit our website"/>
          <a:extLst>
            <a:ext uri="{FF2B5EF4-FFF2-40B4-BE49-F238E27FC236}">
              <a16:creationId xmlns:a16="http://schemas.microsoft.com/office/drawing/2014/main" id="{2C8B78CB-D13D-4B86-82EA-724739D8F125}"/>
            </a:ext>
          </a:extLst>
        </xdr:cNvPr>
        <xdr:cNvGrpSpPr/>
      </xdr:nvGrpSpPr>
      <xdr:grpSpPr>
        <a:xfrm>
          <a:off x="2305051" y="253044"/>
          <a:ext cx="2968624" cy="683581"/>
          <a:chOff x="3048001" y="334328"/>
          <a:chExt cx="2724150" cy="616906"/>
        </a:xfrm>
      </xdr:grpSpPr>
      <xdr:pic>
        <xdr:nvPicPr>
          <xdr:cNvPr id="9" name="Picture 8">
            <a:extLst>
              <a:ext uri="{FF2B5EF4-FFF2-40B4-BE49-F238E27FC236}">
                <a16:creationId xmlns:a16="http://schemas.microsoft.com/office/drawing/2014/main" id="{2FE96196-5906-BBCE-F285-E18AE9912F40}"/>
              </a:ext>
            </a:extLst>
          </xdr:cNvPr>
          <xdr:cNvPicPr>
            <a:picLocks noChangeAspect="1"/>
          </xdr:cNvPicPr>
        </xdr:nvPicPr>
        <xdr:blipFill rotWithShape="1">
          <a:blip xmlns:r="http://schemas.openxmlformats.org/officeDocument/2006/relationships" r:embed="rId3"/>
          <a:srcRect l="21422" r="22564" b="61165"/>
          <a:stretch/>
        </xdr:blipFill>
        <xdr:spPr>
          <a:xfrm>
            <a:off x="3048001" y="334328"/>
            <a:ext cx="2724150" cy="616906"/>
          </a:xfrm>
          <a:prstGeom prst="roundRect">
            <a:avLst>
              <a:gd name="adj" fmla="val 18431"/>
            </a:avLst>
          </a:prstGeom>
        </xdr:spPr>
      </xdr:pic>
      <xdr:sp macro="" textlink="">
        <xdr:nvSpPr>
          <xdr:cNvPr id="10" name="TextBox 9">
            <a:extLst>
              <a:ext uri="{FF2B5EF4-FFF2-40B4-BE49-F238E27FC236}">
                <a16:creationId xmlns:a16="http://schemas.microsoft.com/office/drawing/2014/main" id="{236EEEDD-A78B-7DE4-90C8-1B99A69738EA}"/>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11" name="Picture 10">
            <a:extLst>
              <a:ext uri="{FF2B5EF4-FFF2-40B4-BE49-F238E27FC236}">
                <a16:creationId xmlns:a16="http://schemas.microsoft.com/office/drawing/2014/main" id="{680536CA-77F6-DB61-EFCC-CB5CD6BC99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12" name="TextBox 11">
            <a:extLst>
              <a:ext uri="{FF2B5EF4-FFF2-40B4-BE49-F238E27FC236}">
                <a16:creationId xmlns:a16="http://schemas.microsoft.com/office/drawing/2014/main" id="{2B74D3BC-ACF9-E164-72D1-4D614744B68F}"/>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16</xdr:col>
      <xdr:colOff>352425</xdr:colOff>
      <xdr:row>2</xdr:row>
      <xdr:rowOff>47627</xdr:rowOff>
    </xdr:from>
    <xdr:to>
      <xdr:col>16</xdr:col>
      <xdr:colOff>1304919</xdr:colOff>
      <xdr:row>3</xdr:row>
      <xdr:rowOff>133577</xdr:rowOff>
    </xdr:to>
    <xdr:grpSp>
      <xdr:nvGrpSpPr>
        <xdr:cNvPr id="13" name="Group 12">
          <a:hlinkClick xmlns:r="http://schemas.openxmlformats.org/officeDocument/2006/relationships" r:id="rId8" tooltip="Go to Cover page"/>
          <a:extLst>
            <a:ext uri="{FF2B5EF4-FFF2-40B4-BE49-F238E27FC236}">
              <a16:creationId xmlns:a16="http://schemas.microsoft.com/office/drawing/2014/main" id="{222B675B-5EB3-43F1-AE61-5E6CB8051A06}"/>
            </a:ext>
          </a:extLst>
        </xdr:cNvPr>
        <xdr:cNvGrpSpPr/>
      </xdr:nvGrpSpPr>
      <xdr:grpSpPr>
        <a:xfrm>
          <a:off x="9839325" y="434977"/>
          <a:ext cx="952494" cy="289150"/>
          <a:chOff x="3615235" y="2135609"/>
          <a:chExt cx="1011478" cy="463990"/>
        </a:xfrm>
      </xdr:grpSpPr>
      <xdr:sp macro="" textlink="">
        <xdr:nvSpPr>
          <xdr:cNvPr id="14" name="Rectangle 13">
            <a:extLst>
              <a:ext uri="{FF2B5EF4-FFF2-40B4-BE49-F238E27FC236}">
                <a16:creationId xmlns:a16="http://schemas.microsoft.com/office/drawing/2014/main" id="{44154470-CA77-91AA-0421-8B41F0B65C8F}"/>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5" name="Graphic 3" descr="Back with solid fill">
            <a:extLst>
              <a:ext uri="{FF2B5EF4-FFF2-40B4-BE49-F238E27FC236}">
                <a16:creationId xmlns:a16="http://schemas.microsoft.com/office/drawing/2014/main" id="{92DF4F2F-84DE-2EB3-19DA-FD68786A3620}"/>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6" name="TextBox 15">
            <a:extLst>
              <a:ext uri="{FF2B5EF4-FFF2-40B4-BE49-F238E27FC236}">
                <a16:creationId xmlns:a16="http://schemas.microsoft.com/office/drawing/2014/main" id="{75FF0521-9985-56B1-F67B-804CF14E7A96}"/>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16</xdr:col>
      <xdr:colOff>2015333</xdr:colOff>
      <xdr:row>2</xdr:row>
      <xdr:rowOff>2</xdr:rowOff>
    </xdr:from>
    <xdr:to>
      <xdr:col>17</xdr:col>
      <xdr:colOff>451069</xdr:colOff>
      <xdr:row>3</xdr:row>
      <xdr:rowOff>168431</xdr:rowOff>
    </xdr:to>
    <xdr:grpSp>
      <xdr:nvGrpSpPr>
        <xdr:cNvPr id="17" name="Group 16">
          <a:hlinkClick xmlns:r="http://schemas.openxmlformats.org/officeDocument/2006/relationships" r:id="rId9" tooltip="Go to Previous page"/>
          <a:extLst>
            <a:ext uri="{FF2B5EF4-FFF2-40B4-BE49-F238E27FC236}">
              <a16:creationId xmlns:a16="http://schemas.microsoft.com/office/drawing/2014/main" id="{C713D703-B879-44DD-B7E6-C0A5B71487D1}"/>
            </a:ext>
          </a:extLst>
        </xdr:cNvPr>
        <xdr:cNvGrpSpPr/>
      </xdr:nvGrpSpPr>
      <xdr:grpSpPr>
        <a:xfrm>
          <a:off x="11502233" y="387352"/>
          <a:ext cx="689986" cy="371629"/>
          <a:chOff x="3207261" y="2135607"/>
          <a:chExt cx="689910" cy="602421"/>
        </a:xfrm>
      </xdr:grpSpPr>
      <xdr:sp macro="" textlink="">
        <xdr:nvSpPr>
          <xdr:cNvPr id="18" name="Rectangle 17">
            <a:extLst>
              <a:ext uri="{FF2B5EF4-FFF2-40B4-BE49-F238E27FC236}">
                <a16:creationId xmlns:a16="http://schemas.microsoft.com/office/drawing/2014/main" id="{68F6BBDF-3023-4508-2E5E-25BE80A11C17}"/>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Graphic 3" descr="Back with solid fill">
            <a:extLst>
              <a:ext uri="{FF2B5EF4-FFF2-40B4-BE49-F238E27FC236}">
                <a16:creationId xmlns:a16="http://schemas.microsoft.com/office/drawing/2014/main" id="{ADD3480B-9597-8F5D-32EC-7E23C33FA786}"/>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0" name="TextBox 19">
            <a:extLst>
              <a:ext uri="{FF2B5EF4-FFF2-40B4-BE49-F238E27FC236}">
                <a16:creationId xmlns:a16="http://schemas.microsoft.com/office/drawing/2014/main" id="{4B86A286-F0EF-F45A-531C-153652C37AE6}"/>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18</xdr:col>
      <xdr:colOff>145799</xdr:colOff>
      <xdr:row>2</xdr:row>
      <xdr:rowOff>0</xdr:rowOff>
    </xdr:from>
    <xdr:to>
      <xdr:col>19</xdr:col>
      <xdr:colOff>133344</xdr:colOff>
      <xdr:row>3</xdr:row>
      <xdr:rowOff>168429</xdr:rowOff>
    </xdr:to>
    <xdr:grpSp>
      <xdr:nvGrpSpPr>
        <xdr:cNvPr id="21" name="Group 20">
          <a:hlinkClick xmlns:r="http://schemas.openxmlformats.org/officeDocument/2006/relationships" r:id="rId10" tooltip="Go to Next page"/>
          <a:extLst>
            <a:ext uri="{FF2B5EF4-FFF2-40B4-BE49-F238E27FC236}">
              <a16:creationId xmlns:a16="http://schemas.microsoft.com/office/drawing/2014/main" id="{DC6D1DCF-DB1B-49B0-AB65-4BCB1CB8358A}"/>
            </a:ext>
          </a:extLst>
        </xdr:cNvPr>
        <xdr:cNvGrpSpPr/>
      </xdr:nvGrpSpPr>
      <xdr:grpSpPr>
        <a:xfrm rot="10800000">
          <a:off x="12445749" y="387350"/>
          <a:ext cx="584445" cy="371629"/>
          <a:chOff x="3185180" y="2135611"/>
          <a:chExt cx="648224" cy="602421"/>
        </a:xfrm>
      </xdr:grpSpPr>
      <xdr:sp macro="" textlink="">
        <xdr:nvSpPr>
          <xdr:cNvPr id="22" name="Rectangle 21">
            <a:extLst>
              <a:ext uri="{FF2B5EF4-FFF2-40B4-BE49-F238E27FC236}">
                <a16:creationId xmlns:a16="http://schemas.microsoft.com/office/drawing/2014/main" id="{7AE0D33D-376F-DA44-F289-63C1E15773ED}"/>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3" name="Graphic 3" descr="Back with solid fill">
            <a:extLst>
              <a:ext uri="{FF2B5EF4-FFF2-40B4-BE49-F238E27FC236}">
                <a16:creationId xmlns:a16="http://schemas.microsoft.com/office/drawing/2014/main" id="{3ADDCAE6-5E00-8D19-1AC0-C0599C61C413}"/>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4" name="TextBox 23">
            <a:extLst>
              <a:ext uri="{FF2B5EF4-FFF2-40B4-BE49-F238E27FC236}">
                <a16:creationId xmlns:a16="http://schemas.microsoft.com/office/drawing/2014/main" id="{8D769CE9-C33C-4C88-ED94-63882CA58404}"/>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16</xdr:col>
      <xdr:colOff>1533048</xdr:colOff>
      <xdr:row>2</xdr:row>
      <xdr:rowOff>44606</xdr:rowOff>
    </xdr:from>
    <xdr:to>
      <xdr:col>16</xdr:col>
      <xdr:colOff>1787204</xdr:colOff>
      <xdr:row>3</xdr:row>
      <xdr:rowOff>106378</xdr:rowOff>
    </xdr:to>
    <xdr:grpSp>
      <xdr:nvGrpSpPr>
        <xdr:cNvPr id="25" name="Group 24">
          <a:hlinkClick xmlns:r="http://schemas.openxmlformats.org/officeDocument/2006/relationships" r:id="rId11" tooltip="Go to Gallery"/>
          <a:extLst>
            <a:ext uri="{FF2B5EF4-FFF2-40B4-BE49-F238E27FC236}">
              <a16:creationId xmlns:a16="http://schemas.microsoft.com/office/drawing/2014/main" id="{C1890CD6-E4F0-41B9-AC4F-7CC8CA5E3EBE}"/>
            </a:ext>
          </a:extLst>
        </xdr:cNvPr>
        <xdr:cNvGrpSpPr/>
      </xdr:nvGrpSpPr>
      <xdr:grpSpPr>
        <a:xfrm>
          <a:off x="11019948" y="431956"/>
          <a:ext cx="254156" cy="264972"/>
          <a:chOff x="5270413" y="829190"/>
          <a:chExt cx="251434" cy="252272"/>
        </a:xfrm>
      </xdr:grpSpPr>
      <xdr:sp macro="" textlink="">
        <xdr:nvSpPr>
          <xdr:cNvPr id="26" name="Rectangle 25">
            <a:extLst>
              <a:ext uri="{FF2B5EF4-FFF2-40B4-BE49-F238E27FC236}">
                <a16:creationId xmlns:a16="http://schemas.microsoft.com/office/drawing/2014/main" id="{5BD52AB3-63DF-BEED-501D-603220C28D16}"/>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CC7E39E1-978F-EB2C-DE7F-47382232D6F5}"/>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659CC21D-FFD2-985E-1E3C-78A34F8BD008}"/>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590E53CF-355B-156A-9CB5-D0B60DC9FA73}"/>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6265DECE-BAC7-F48C-112F-C8EF005E27FC}"/>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FAB86DEC-36B1-C909-64F3-D60EE3362A32}"/>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7897CA1C-236B-9F3A-42C2-BCE0B38534B7}"/>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8C5AF45B-E3C6-93F5-0ED7-D1927DBE8F3B}"/>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BF5CEBAE-5C48-0B60-F9EF-06AFFC551B3A}"/>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76200</xdr:rowOff>
    </xdr:from>
    <xdr:to>
      <xdr:col>3</xdr:col>
      <xdr:colOff>0</xdr:colOff>
      <xdr:row>4</xdr:row>
      <xdr:rowOff>47625</xdr:rowOff>
    </xdr:to>
    <xdr:sp macro="" textlink="">
      <xdr:nvSpPr>
        <xdr:cNvPr id="35" name="Rectangle 34">
          <a:hlinkClick xmlns:r="http://schemas.openxmlformats.org/officeDocument/2006/relationships" r:id="rId7" tooltip="Visit our website"/>
          <a:extLst>
            <a:ext uri="{FF2B5EF4-FFF2-40B4-BE49-F238E27FC236}">
              <a16:creationId xmlns:a16="http://schemas.microsoft.com/office/drawing/2014/main" id="{A5139A05-1D61-40FE-9F1C-129DF755C758}"/>
            </a:ext>
          </a:extLst>
        </xdr:cNvPr>
        <xdr:cNvSpPr/>
      </xdr:nvSpPr>
      <xdr:spPr>
        <a:xfrm>
          <a:off x="200025" y="2667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9.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8DA75D2E-676F-492A-B6B7-BB030B99A1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11</xdr:col>
      <xdr:colOff>276225</xdr:colOff>
      <xdr:row>1</xdr:row>
      <xdr:rowOff>68894</xdr:rowOff>
    </xdr:from>
    <xdr:to>
      <xdr:col>15</xdr:col>
      <xdr:colOff>1409700</xdr:colOff>
      <xdr:row>4</xdr:row>
      <xdr:rowOff>142875</xdr:rowOff>
    </xdr:to>
    <xdr:grpSp>
      <xdr:nvGrpSpPr>
        <xdr:cNvPr id="3" name="Group 2">
          <a:hlinkClick xmlns:r="http://schemas.openxmlformats.org/officeDocument/2006/relationships" r:id="rId2" tooltip="Subscribe to our YouTube Channel"/>
          <a:extLst>
            <a:ext uri="{FF2B5EF4-FFF2-40B4-BE49-F238E27FC236}">
              <a16:creationId xmlns:a16="http://schemas.microsoft.com/office/drawing/2014/main" id="{CC73D5E4-30D3-4277-A8EE-CD18B445D61E}"/>
            </a:ext>
          </a:extLst>
        </xdr:cNvPr>
        <xdr:cNvGrpSpPr/>
      </xdr:nvGrpSpPr>
      <xdr:grpSpPr>
        <a:xfrm>
          <a:off x="5483225" y="253044"/>
          <a:ext cx="3159125" cy="683581"/>
          <a:chOff x="6877050" y="1735769"/>
          <a:chExt cx="3209925" cy="616906"/>
        </a:xfrm>
      </xdr:grpSpPr>
      <xdr:pic>
        <xdr:nvPicPr>
          <xdr:cNvPr id="4" name="Picture 3">
            <a:extLst>
              <a:ext uri="{FF2B5EF4-FFF2-40B4-BE49-F238E27FC236}">
                <a16:creationId xmlns:a16="http://schemas.microsoft.com/office/drawing/2014/main" id="{F7DFC2A9-4A8B-83EA-D528-61985AAA210A}"/>
              </a:ext>
            </a:extLst>
          </xdr:cNvPr>
          <xdr:cNvPicPr>
            <a:picLocks noChangeAspect="1"/>
          </xdr:cNvPicPr>
        </xdr:nvPicPr>
        <xdr:blipFill rotWithShape="1">
          <a:blip xmlns:r="http://schemas.openxmlformats.org/officeDocument/2006/relationships" r:embed="rId3"/>
          <a:srcRect l="21422" r="22564" b="61165"/>
          <a:stretch/>
        </xdr:blipFill>
        <xdr:spPr>
          <a:xfrm>
            <a:off x="6877050" y="1735769"/>
            <a:ext cx="3190875" cy="616906"/>
          </a:xfrm>
          <a:prstGeom prst="roundRect">
            <a:avLst>
              <a:gd name="adj" fmla="val 18431"/>
            </a:avLst>
          </a:prstGeom>
        </xdr:spPr>
      </xdr:pic>
      <xdr:pic>
        <xdr:nvPicPr>
          <xdr:cNvPr id="5" name="Picture 4">
            <a:hlinkClick xmlns:r="http://schemas.openxmlformats.org/officeDocument/2006/relationships" r:id="rId4" tooltip="Subscribe to our YouTube Channel"/>
            <a:extLst>
              <a:ext uri="{FF2B5EF4-FFF2-40B4-BE49-F238E27FC236}">
                <a16:creationId xmlns:a16="http://schemas.microsoft.com/office/drawing/2014/main" id="{5EEF45AC-FC29-3547-4CEB-743C6BA3B8EB}"/>
              </a:ext>
            </a:extLst>
          </xdr:cNvPr>
          <xdr:cNvPicPr>
            <a:picLocks noChangeAspect="1"/>
          </xdr:cNvPicPr>
        </xdr:nvPicPr>
        <xdr:blipFill>
          <a:blip xmlns:r="http://schemas.openxmlformats.org/officeDocument/2006/relationships" r:embed="rId5"/>
          <a:stretch>
            <a:fillRect/>
          </a:stretch>
        </xdr:blipFill>
        <xdr:spPr>
          <a:xfrm>
            <a:off x="8781626" y="1763078"/>
            <a:ext cx="1072787" cy="327858"/>
          </a:xfrm>
          <a:prstGeom prst="roundRect">
            <a:avLst>
              <a:gd name="adj" fmla="val 25491"/>
            </a:avLst>
          </a:prstGeom>
        </xdr:spPr>
      </xdr:pic>
      <xdr:pic>
        <xdr:nvPicPr>
          <xdr:cNvPr id="6" name="Picture 5">
            <a:extLst>
              <a:ext uri="{FF2B5EF4-FFF2-40B4-BE49-F238E27FC236}">
                <a16:creationId xmlns:a16="http://schemas.microsoft.com/office/drawing/2014/main" id="{5D37CE25-944A-0E54-C16C-5F1B2E461866}"/>
              </a:ext>
            </a:extLst>
          </xdr:cNvPr>
          <xdr:cNvPicPr>
            <a:picLocks noChangeAspect="1"/>
          </xdr:cNvPicPr>
        </xdr:nvPicPr>
        <xdr:blipFill>
          <a:blip xmlns:r="http://schemas.openxmlformats.org/officeDocument/2006/relationships" r:embed="rId6"/>
          <a:stretch>
            <a:fillRect/>
          </a:stretch>
        </xdr:blipFill>
        <xdr:spPr>
          <a:xfrm>
            <a:off x="7324725" y="1777199"/>
            <a:ext cx="962025" cy="237126"/>
          </a:xfrm>
          <a:prstGeom prst="roundRect">
            <a:avLst>
              <a:gd name="adj" fmla="val 26144"/>
            </a:avLst>
          </a:prstGeom>
        </xdr:spPr>
      </xdr:pic>
      <xdr:sp macro="" textlink="">
        <xdr:nvSpPr>
          <xdr:cNvPr id="7" name="TextBox 6">
            <a:extLst>
              <a:ext uri="{FF2B5EF4-FFF2-40B4-BE49-F238E27FC236}">
                <a16:creationId xmlns:a16="http://schemas.microsoft.com/office/drawing/2014/main" id="{4BB82416-E573-E7F1-D526-64CAE24EFF34}"/>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3</xdr:col>
      <xdr:colOff>76201</xdr:colOff>
      <xdr:row>1</xdr:row>
      <xdr:rowOff>68894</xdr:rowOff>
    </xdr:from>
    <xdr:to>
      <xdr:col>11</xdr:col>
      <xdr:colOff>66675</xdr:colOff>
      <xdr:row>4</xdr:row>
      <xdr:rowOff>142875</xdr:rowOff>
    </xdr:to>
    <xdr:grpSp>
      <xdr:nvGrpSpPr>
        <xdr:cNvPr id="8" name="Group 7">
          <a:hlinkClick xmlns:r="http://schemas.openxmlformats.org/officeDocument/2006/relationships" r:id="rId7" tooltip="Visit our website"/>
          <a:extLst>
            <a:ext uri="{FF2B5EF4-FFF2-40B4-BE49-F238E27FC236}">
              <a16:creationId xmlns:a16="http://schemas.microsoft.com/office/drawing/2014/main" id="{08586DF1-79AE-4A70-834A-1E70D3BFD60A}"/>
            </a:ext>
          </a:extLst>
        </xdr:cNvPr>
        <xdr:cNvGrpSpPr/>
      </xdr:nvGrpSpPr>
      <xdr:grpSpPr>
        <a:xfrm>
          <a:off x="2305051" y="253044"/>
          <a:ext cx="2968624" cy="683581"/>
          <a:chOff x="3048001" y="334328"/>
          <a:chExt cx="2724150" cy="616906"/>
        </a:xfrm>
      </xdr:grpSpPr>
      <xdr:pic>
        <xdr:nvPicPr>
          <xdr:cNvPr id="9" name="Picture 8">
            <a:extLst>
              <a:ext uri="{FF2B5EF4-FFF2-40B4-BE49-F238E27FC236}">
                <a16:creationId xmlns:a16="http://schemas.microsoft.com/office/drawing/2014/main" id="{D21C0711-7C2B-5FCE-6DC6-E8A9B6EBB405}"/>
              </a:ext>
            </a:extLst>
          </xdr:cNvPr>
          <xdr:cNvPicPr>
            <a:picLocks noChangeAspect="1"/>
          </xdr:cNvPicPr>
        </xdr:nvPicPr>
        <xdr:blipFill rotWithShape="1">
          <a:blip xmlns:r="http://schemas.openxmlformats.org/officeDocument/2006/relationships" r:embed="rId3"/>
          <a:srcRect l="21422" r="22564" b="61165"/>
          <a:stretch/>
        </xdr:blipFill>
        <xdr:spPr>
          <a:xfrm>
            <a:off x="3048001" y="334328"/>
            <a:ext cx="2724150" cy="616906"/>
          </a:xfrm>
          <a:prstGeom prst="roundRect">
            <a:avLst>
              <a:gd name="adj" fmla="val 18431"/>
            </a:avLst>
          </a:prstGeom>
        </xdr:spPr>
      </xdr:pic>
      <xdr:sp macro="" textlink="">
        <xdr:nvSpPr>
          <xdr:cNvPr id="10" name="TextBox 9">
            <a:extLst>
              <a:ext uri="{FF2B5EF4-FFF2-40B4-BE49-F238E27FC236}">
                <a16:creationId xmlns:a16="http://schemas.microsoft.com/office/drawing/2014/main" id="{0354025C-F000-9C3A-505B-006A3477FB59}"/>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11" name="Picture 10">
            <a:extLst>
              <a:ext uri="{FF2B5EF4-FFF2-40B4-BE49-F238E27FC236}">
                <a16:creationId xmlns:a16="http://schemas.microsoft.com/office/drawing/2014/main" id="{73E570B5-99E2-E994-CF79-0E3B9B3395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12" name="TextBox 11">
            <a:extLst>
              <a:ext uri="{FF2B5EF4-FFF2-40B4-BE49-F238E27FC236}">
                <a16:creationId xmlns:a16="http://schemas.microsoft.com/office/drawing/2014/main" id="{CC992014-4424-5BF7-036C-FBF685DA63B9}"/>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16</xdr:col>
      <xdr:colOff>352425</xdr:colOff>
      <xdr:row>2</xdr:row>
      <xdr:rowOff>47627</xdr:rowOff>
    </xdr:from>
    <xdr:to>
      <xdr:col>16</xdr:col>
      <xdr:colOff>1304919</xdr:colOff>
      <xdr:row>3</xdr:row>
      <xdr:rowOff>133577</xdr:rowOff>
    </xdr:to>
    <xdr:grpSp>
      <xdr:nvGrpSpPr>
        <xdr:cNvPr id="13" name="Group 12">
          <a:hlinkClick xmlns:r="http://schemas.openxmlformats.org/officeDocument/2006/relationships" r:id="rId8" tooltip="Go to Cover page"/>
          <a:extLst>
            <a:ext uri="{FF2B5EF4-FFF2-40B4-BE49-F238E27FC236}">
              <a16:creationId xmlns:a16="http://schemas.microsoft.com/office/drawing/2014/main" id="{DC8AF252-AC3E-400E-9DD5-008DC36E0FA6}"/>
            </a:ext>
          </a:extLst>
        </xdr:cNvPr>
        <xdr:cNvGrpSpPr/>
      </xdr:nvGrpSpPr>
      <xdr:grpSpPr>
        <a:xfrm>
          <a:off x="9839325" y="434977"/>
          <a:ext cx="952494" cy="289150"/>
          <a:chOff x="3615235" y="2135609"/>
          <a:chExt cx="1011478" cy="463990"/>
        </a:xfrm>
      </xdr:grpSpPr>
      <xdr:sp macro="" textlink="">
        <xdr:nvSpPr>
          <xdr:cNvPr id="14" name="Rectangle 13">
            <a:extLst>
              <a:ext uri="{FF2B5EF4-FFF2-40B4-BE49-F238E27FC236}">
                <a16:creationId xmlns:a16="http://schemas.microsoft.com/office/drawing/2014/main" id="{2E9369BD-9CC8-5EC4-FC86-00544A815E8A}"/>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5" name="Graphic 3" descr="Back with solid fill">
            <a:extLst>
              <a:ext uri="{FF2B5EF4-FFF2-40B4-BE49-F238E27FC236}">
                <a16:creationId xmlns:a16="http://schemas.microsoft.com/office/drawing/2014/main" id="{0FF71ED3-9D49-25EE-E7C8-5BB2917DDF4A}"/>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6" name="TextBox 15">
            <a:extLst>
              <a:ext uri="{FF2B5EF4-FFF2-40B4-BE49-F238E27FC236}">
                <a16:creationId xmlns:a16="http://schemas.microsoft.com/office/drawing/2014/main" id="{B8666AC9-DD95-24CD-3E29-42A412573692}"/>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16</xdr:col>
      <xdr:colOff>2015333</xdr:colOff>
      <xdr:row>2</xdr:row>
      <xdr:rowOff>2</xdr:rowOff>
    </xdr:from>
    <xdr:to>
      <xdr:col>17</xdr:col>
      <xdr:colOff>451069</xdr:colOff>
      <xdr:row>3</xdr:row>
      <xdr:rowOff>168431</xdr:rowOff>
    </xdr:to>
    <xdr:grpSp>
      <xdr:nvGrpSpPr>
        <xdr:cNvPr id="17" name="Group 16">
          <a:hlinkClick xmlns:r="http://schemas.openxmlformats.org/officeDocument/2006/relationships" r:id="rId9" tooltip="Go to Previous page"/>
          <a:extLst>
            <a:ext uri="{FF2B5EF4-FFF2-40B4-BE49-F238E27FC236}">
              <a16:creationId xmlns:a16="http://schemas.microsoft.com/office/drawing/2014/main" id="{80D6257E-DAB1-427D-B9D2-B8D054A9A565}"/>
            </a:ext>
          </a:extLst>
        </xdr:cNvPr>
        <xdr:cNvGrpSpPr/>
      </xdr:nvGrpSpPr>
      <xdr:grpSpPr>
        <a:xfrm>
          <a:off x="11502233" y="387352"/>
          <a:ext cx="689986" cy="371629"/>
          <a:chOff x="3207261" y="2135607"/>
          <a:chExt cx="689910" cy="602421"/>
        </a:xfrm>
      </xdr:grpSpPr>
      <xdr:sp macro="" textlink="">
        <xdr:nvSpPr>
          <xdr:cNvPr id="18" name="Rectangle 17">
            <a:extLst>
              <a:ext uri="{FF2B5EF4-FFF2-40B4-BE49-F238E27FC236}">
                <a16:creationId xmlns:a16="http://schemas.microsoft.com/office/drawing/2014/main" id="{B3D5BDB7-F1BF-7FD3-56AA-A256B92B89FA}"/>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Graphic 3" descr="Back with solid fill">
            <a:extLst>
              <a:ext uri="{FF2B5EF4-FFF2-40B4-BE49-F238E27FC236}">
                <a16:creationId xmlns:a16="http://schemas.microsoft.com/office/drawing/2014/main" id="{64FA7EF8-E1E5-0DD9-A6FE-06D849496908}"/>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0" name="TextBox 19">
            <a:extLst>
              <a:ext uri="{FF2B5EF4-FFF2-40B4-BE49-F238E27FC236}">
                <a16:creationId xmlns:a16="http://schemas.microsoft.com/office/drawing/2014/main" id="{7816D4A6-5735-E258-3101-042F54477ACE}"/>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18</xdr:col>
      <xdr:colOff>145799</xdr:colOff>
      <xdr:row>2</xdr:row>
      <xdr:rowOff>0</xdr:rowOff>
    </xdr:from>
    <xdr:to>
      <xdr:col>19</xdr:col>
      <xdr:colOff>133344</xdr:colOff>
      <xdr:row>3</xdr:row>
      <xdr:rowOff>168429</xdr:rowOff>
    </xdr:to>
    <xdr:grpSp>
      <xdr:nvGrpSpPr>
        <xdr:cNvPr id="21" name="Group 20">
          <a:hlinkClick xmlns:r="http://schemas.openxmlformats.org/officeDocument/2006/relationships" r:id="rId10" tooltip="Go to Next page"/>
          <a:extLst>
            <a:ext uri="{FF2B5EF4-FFF2-40B4-BE49-F238E27FC236}">
              <a16:creationId xmlns:a16="http://schemas.microsoft.com/office/drawing/2014/main" id="{242CF049-B554-481E-97FC-0D7DB59679B4}"/>
            </a:ext>
          </a:extLst>
        </xdr:cNvPr>
        <xdr:cNvGrpSpPr/>
      </xdr:nvGrpSpPr>
      <xdr:grpSpPr>
        <a:xfrm rot="10800000">
          <a:off x="12445749" y="387350"/>
          <a:ext cx="584445" cy="371629"/>
          <a:chOff x="3185180" y="2135611"/>
          <a:chExt cx="648224" cy="602421"/>
        </a:xfrm>
      </xdr:grpSpPr>
      <xdr:sp macro="" textlink="">
        <xdr:nvSpPr>
          <xdr:cNvPr id="22" name="Rectangle 21">
            <a:extLst>
              <a:ext uri="{FF2B5EF4-FFF2-40B4-BE49-F238E27FC236}">
                <a16:creationId xmlns:a16="http://schemas.microsoft.com/office/drawing/2014/main" id="{C84C9AB7-E8CE-5EFA-1B89-FC25139238D1}"/>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3" name="Graphic 3" descr="Back with solid fill">
            <a:extLst>
              <a:ext uri="{FF2B5EF4-FFF2-40B4-BE49-F238E27FC236}">
                <a16:creationId xmlns:a16="http://schemas.microsoft.com/office/drawing/2014/main" id="{DFADF7A7-37DF-50D2-B41D-144548177363}"/>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4" name="TextBox 23">
            <a:extLst>
              <a:ext uri="{FF2B5EF4-FFF2-40B4-BE49-F238E27FC236}">
                <a16:creationId xmlns:a16="http://schemas.microsoft.com/office/drawing/2014/main" id="{0E7CD51B-DC49-1E1C-DE74-37B5DC589181}"/>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16</xdr:col>
      <xdr:colOff>1533048</xdr:colOff>
      <xdr:row>2</xdr:row>
      <xdr:rowOff>44606</xdr:rowOff>
    </xdr:from>
    <xdr:to>
      <xdr:col>16</xdr:col>
      <xdr:colOff>1787204</xdr:colOff>
      <xdr:row>3</xdr:row>
      <xdr:rowOff>106378</xdr:rowOff>
    </xdr:to>
    <xdr:grpSp>
      <xdr:nvGrpSpPr>
        <xdr:cNvPr id="25" name="Group 24">
          <a:hlinkClick xmlns:r="http://schemas.openxmlformats.org/officeDocument/2006/relationships" r:id="rId11" tooltip="Go to Gallery"/>
          <a:extLst>
            <a:ext uri="{FF2B5EF4-FFF2-40B4-BE49-F238E27FC236}">
              <a16:creationId xmlns:a16="http://schemas.microsoft.com/office/drawing/2014/main" id="{5F6A2FF9-45EF-4E30-8700-AA64FD4320AF}"/>
            </a:ext>
          </a:extLst>
        </xdr:cNvPr>
        <xdr:cNvGrpSpPr/>
      </xdr:nvGrpSpPr>
      <xdr:grpSpPr>
        <a:xfrm>
          <a:off x="11019948" y="431956"/>
          <a:ext cx="254156" cy="264972"/>
          <a:chOff x="5270413" y="829190"/>
          <a:chExt cx="251434" cy="252272"/>
        </a:xfrm>
      </xdr:grpSpPr>
      <xdr:sp macro="" textlink="">
        <xdr:nvSpPr>
          <xdr:cNvPr id="26" name="Rectangle 25">
            <a:extLst>
              <a:ext uri="{FF2B5EF4-FFF2-40B4-BE49-F238E27FC236}">
                <a16:creationId xmlns:a16="http://schemas.microsoft.com/office/drawing/2014/main" id="{4E629395-E664-AB46-818D-B8654819515E}"/>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425FD5C4-60F4-B14D-3B54-F244FC89798E}"/>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C5D7FA84-B71F-061C-2FCD-9484E1C3090E}"/>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4713A86E-53F2-8B17-AC9B-08E129693043}"/>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489638D1-BFF2-A133-DCE4-EE0423DB648C}"/>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5FAE006C-8A4E-875F-C07B-DEFE5A69ED31}"/>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38FE8B29-D9A0-6B5C-00B6-C25E8A6931C3}"/>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6D85146A-95D9-680E-9D1A-99F6913FB1A9}"/>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14D30B24-A545-6320-A236-CD18247C0042}"/>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66675</xdr:rowOff>
    </xdr:from>
    <xdr:to>
      <xdr:col>3</xdr:col>
      <xdr:colOff>0</xdr:colOff>
      <xdr:row>4</xdr:row>
      <xdr:rowOff>38100</xdr:rowOff>
    </xdr:to>
    <xdr:sp macro="" textlink="">
      <xdr:nvSpPr>
        <xdr:cNvPr id="35" name="Rectangle 34">
          <a:hlinkClick xmlns:r="http://schemas.openxmlformats.org/officeDocument/2006/relationships" r:id="rId7" tooltip="Visit our website"/>
          <a:extLst>
            <a:ext uri="{FF2B5EF4-FFF2-40B4-BE49-F238E27FC236}">
              <a16:creationId xmlns:a16="http://schemas.microsoft.com/office/drawing/2014/main" id="{967606E8-69E2-4031-AD79-68174BF42BF2}"/>
            </a:ext>
          </a:extLst>
        </xdr:cNvPr>
        <xdr:cNvSpPr/>
      </xdr:nvSpPr>
      <xdr:spPr>
        <a:xfrm>
          <a:off x="200025" y="2571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0.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7C8CF54D-C60B-45D0-BA72-BCC51637AE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11</xdr:col>
      <xdr:colOff>266699</xdr:colOff>
      <xdr:row>1</xdr:row>
      <xdr:rowOff>68894</xdr:rowOff>
    </xdr:from>
    <xdr:to>
      <xdr:col>15</xdr:col>
      <xdr:colOff>1428749</xdr:colOff>
      <xdr:row>4</xdr:row>
      <xdr:rowOff>142875</xdr:rowOff>
    </xdr:to>
    <xdr:grpSp>
      <xdr:nvGrpSpPr>
        <xdr:cNvPr id="3" name="Group 2">
          <a:hlinkClick xmlns:r="http://schemas.openxmlformats.org/officeDocument/2006/relationships" r:id="rId2" tooltip="Subscribe to our YouTube Channel"/>
          <a:extLst>
            <a:ext uri="{FF2B5EF4-FFF2-40B4-BE49-F238E27FC236}">
              <a16:creationId xmlns:a16="http://schemas.microsoft.com/office/drawing/2014/main" id="{D1F117CC-01E1-4FAA-B529-9D472C5B5175}"/>
            </a:ext>
          </a:extLst>
        </xdr:cNvPr>
        <xdr:cNvGrpSpPr/>
      </xdr:nvGrpSpPr>
      <xdr:grpSpPr>
        <a:xfrm>
          <a:off x="5473699" y="253044"/>
          <a:ext cx="3187700" cy="683581"/>
          <a:chOff x="6877050" y="1735769"/>
          <a:chExt cx="3209925" cy="616906"/>
        </a:xfrm>
      </xdr:grpSpPr>
      <xdr:pic>
        <xdr:nvPicPr>
          <xdr:cNvPr id="4" name="Picture 3">
            <a:extLst>
              <a:ext uri="{FF2B5EF4-FFF2-40B4-BE49-F238E27FC236}">
                <a16:creationId xmlns:a16="http://schemas.microsoft.com/office/drawing/2014/main" id="{CC879D12-0B0F-445C-4492-75F6B0C5F4C9}"/>
              </a:ext>
            </a:extLst>
          </xdr:cNvPr>
          <xdr:cNvPicPr>
            <a:picLocks noChangeAspect="1"/>
          </xdr:cNvPicPr>
        </xdr:nvPicPr>
        <xdr:blipFill rotWithShape="1">
          <a:blip xmlns:r="http://schemas.openxmlformats.org/officeDocument/2006/relationships" r:embed="rId3"/>
          <a:srcRect l="21422" r="22564" b="61165"/>
          <a:stretch/>
        </xdr:blipFill>
        <xdr:spPr>
          <a:xfrm>
            <a:off x="6877050" y="1735769"/>
            <a:ext cx="3190875" cy="616906"/>
          </a:xfrm>
          <a:prstGeom prst="roundRect">
            <a:avLst>
              <a:gd name="adj" fmla="val 18431"/>
            </a:avLst>
          </a:prstGeom>
        </xdr:spPr>
      </xdr:pic>
      <xdr:pic>
        <xdr:nvPicPr>
          <xdr:cNvPr id="5" name="Picture 4">
            <a:hlinkClick xmlns:r="http://schemas.openxmlformats.org/officeDocument/2006/relationships" r:id="rId4" tooltip="Subscribe to our YouTube Channel"/>
            <a:extLst>
              <a:ext uri="{FF2B5EF4-FFF2-40B4-BE49-F238E27FC236}">
                <a16:creationId xmlns:a16="http://schemas.microsoft.com/office/drawing/2014/main" id="{48C0F376-7BD1-C6A9-C132-7AE7DBFFAD99}"/>
              </a:ext>
            </a:extLst>
          </xdr:cNvPr>
          <xdr:cNvPicPr>
            <a:picLocks noChangeAspect="1"/>
          </xdr:cNvPicPr>
        </xdr:nvPicPr>
        <xdr:blipFill>
          <a:blip xmlns:r="http://schemas.openxmlformats.org/officeDocument/2006/relationships" r:embed="rId5"/>
          <a:stretch>
            <a:fillRect/>
          </a:stretch>
        </xdr:blipFill>
        <xdr:spPr>
          <a:xfrm>
            <a:off x="8781626" y="1763078"/>
            <a:ext cx="1072787" cy="327858"/>
          </a:xfrm>
          <a:prstGeom prst="roundRect">
            <a:avLst>
              <a:gd name="adj" fmla="val 25491"/>
            </a:avLst>
          </a:prstGeom>
        </xdr:spPr>
      </xdr:pic>
      <xdr:pic>
        <xdr:nvPicPr>
          <xdr:cNvPr id="6" name="Picture 5">
            <a:extLst>
              <a:ext uri="{FF2B5EF4-FFF2-40B4-BE49-F238E27FC236}">
                <a16:creationId xmlns:a16="http://schemas.microsoft.com/office/drawing/2014/main" id="{C3BD4F83-1E49-1757-BE4D-AE6A07FC33B0}"/>
              </a:ext>
            </a:extLst>
          </xdr:cNvPr>
          <xdr:cNvPicPr>
            <a:picLocks noChangeAspect="1"/>
          </xdr:cNvPicPr>
        </xdr:nvPicPr>
        <xdr:blipFill>
          <a:blip xmlns:r="http://schemas.openxmlformats.org/officeDocument/2006/relationships" r:embed="rId6"/>
          <a:stretch>
            <a:fillRect/>
          </a:stretch>
        </xdr:blipFill>
        <xdr:spPr>
          <a:xfrm>
            <a:off x="7324725" y="1777199"/>
            <a:ext cx="962025" cy="237126"/>
          </a:xfrm>
          <a:prstGeom prst="roundRect">
            <a:avLst>
              <a:gd name="adj" fmla="val 26144"/>
            </a:avLst>
          </a:prstGeom>
        </xdr:spPr>
      </xdr:pic>
      <xdr:sp macro="" textlink="">
        <xdr:nvSpPr>
          <xdr:cNvPr id="7" name="TextBox 6">
            <a:extLst>
              <a:ext uri="{FF2B5EF4-FFF2-40B4-BE49-F238E27FC236}">
                <a16:creationId xmlns:a16="http://schemas.microsoft.com/office/drawing/2014/main" id="{82BB3F4D-EA60-265F-6652-83732D32BC45}"/>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3</xdr:col>
      <xdr:colOff>66676</xdr:colOff>
      <xdr:row>1</xdr:row>
      <xdr:rowOff>68894</xdr:rowOff>
    </xdr:from>
    <xdr:to>
      <xdr:col>11</xdr:col>
      <xdr:colOff>57150</xdr:colOff>
      <xdr:row>4</xdr:row>
      <xdr:rowOff>142875</xdr:rowOff>
    </xdr:to>
    <xdr:grpSp>
      <xdr:nvGrpSpPr>
        <xdr:cNvPr id="8" name="Group 7">
          <a:hlinkClick xmlns:r="http://schemas.openxmlformats.org/officeDocument/2006/relationships" r:id="rId7" tooltip="Visit our website"/>
          <a:extLst>
            <a:ext uri="{FF2B5EF4-FFF2-40B4-BE49-F238E27FC236}">
              <a16:creationId xmlns:a16="http://schemas.microsoft.com/office/drawing/2014/main" id="{000486DD-AD96-4540-ADED-31242A10831D}"/>
            </a:ext>
          </a:extLst>
        </xdr:cNvPr>
        <xdr:cNvGrpSpPr/>
      </xdr:nvGrpSpPr>
      <xdr:grpSpPr>
        <a:xfrm>
          <a:off x="2295526" y="253044"/>
          <a:ext cx="2968624" cy="683581"/>
          <a:chOff x="3048001" y="334328"/>
          <a:chExt cx="2724150" cy="616906"/>
        </a:xfrm>
      </xdr:grpSpPr>
      <xdr:pic>
        <xdr:nvPicPr>
          <xdr:cNvPr id="9" name="Picture 8">
            <a:extLst>
              <a:ext uri="{FF2B5EF4-FFF2-40B4-BE49-F238E27FC236}">
                <a16:creationId xmlns:a16="http://schemas.microsoft.com/office/drawing/2014/main" id="{942570F2-AB01-0018-F810-5A38E66F73F6}"/>
              </a:ext>
            </a:extLst>
          </xdr:cNvPr>
          <xdr:cNvPicPr>
            <a:picLocks noChangeAspect="1"/>
          </xdr:cNvPicPr>
        </xdr:nvPicPr>
        <xdr:blipFill rotWithShape="1">
          <a:blip xmlns:r="http://schemas.openxmlformats.org/officeDocument/2006/relationships" r:embed="rId3"/>
          <a:srcRect l="21422" r="22564" b="61165"/>
          <a:stretch/>
        </xdr:blipFill>
        <xdr:spPr>
          <a:xfrm>
            <a:off x="3048001" y="334328"/>
            <a:ext cx="2724150" cy="616906"/>
          </a:xfrm>
          <a:prstGeom prst="roundRect">
            <a:avLst>
              <a:gd name="adj" fmla="val 18431"/>
            </a:avLst>
          </a:prstGeom>
        </xdr:spPr>
      </xdr:pic>
      <xdr:sp macro="" textlink="">
        <xdr:nvSpPr>
          <xdr:cNvPr id="10" name="TextBox 9">
            <a:extLst>
              <a:ext uri="{FF2B5EF4-FFF2-40B4-BE49-F238E27FC236}">
                <a16:creationId xmlns:a16="http://schemas.microsoft.com/office/drawing/2014/main" id="{D26DBEBC-F3F3-E7F8-4306-B954EC1E1425}"/>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11" name="Picture 10">
            <a:extLst>
              <a:ext uri="{FF2B5EF4-FFF2-40B4-BE49-F238E27FC236}">
                <a16:creationId xmlns:a16="http://schemas.microsoft.com/office/drawing/2014/main" id="{538A4BF8-33C5-4D30-FF63-EACA931F7B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12" name="TextBox 11">
            <a:extLst>
              <a:ext uri="{FF2B5EF4-FFF2-40B4-BE49-F238E27FC236}">
                <a16:creationId xmlns:a16="http://schemas.microsoft.com/office/drawing/2014/main" id="{C0EC4ACF-0D55-B8AC-492A-476A299DCFDA}"/>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16</xdr:col>
      <xdr:colOff>352425</xdr:colOff>
      <xdr:row>2</xdr:row>
      <xdr:rowOff>47627</xdr:rowOff>
    </xdr:from>
    <xdr:to>
      <xdr:col>16</xdr:col>
      <xdr:colOff>1304919</xdr:colOff>
      <xdr:row>3</xdr:row>
      <xdr:rowOff>133577</xdr:rowOff>
    </xdr:to>
    <xdr:grpSp>
      <xdr:nvGrpSpPr>
        <xdr:cNvPr id="13" name="Group 12">
          <a:hlinkClick xmlns:r="http://schemas.openxmlformats.org/officeDocument/2006/relationships" r:id="rId8" tooltip="Go to Cover page"/>
          <a:extLst>
            <a:ext uri="{FF2B5EF4-FFF2-40B4-BE49-F238E27FC236}">
              <a16:creationId xmlns:a16="http://schemas.microsoft.com/office/drawing/2014/main" id="{F821E0D3-1DC5-4DBC-958D-030D825CC74A}"/>
            </a:ext>
          </a:extLst>
        </xdr:cNvPr>
        <xdr:cNvGrpSpPr/>
      </xdr:nvGrpSpPr>
      <xdr:grpSpPr>
        <a:xfrm>
          <a:off x="9839325" y="434977"/>
          <a:ext cx="952494" cy="289150"/>
          <a:chOff x="3615235" y="2135609"/>
          <a:chExt cx="1011478" cy="463990"/>
        </a:xfrm>
      </xdr:grpSpPr>
      <xdr:sp macro="" textlink="">
        <xdr:nvSpPr>
          <xdr:cNvPr id="14" name="Rectangle 13">
            <a:extLst>
              <a:ext uri="{FF2B5EF4-FFF2-40B4-BE49-F238E27FC236}">
                <a16:creationId xmlns:a16="http://schemas.microsoft.com/office/drawing/2014/main" id="{A52FA25B-775B-1FCA-491C-178A0C8BDAE1}"/>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5" name="Graphic 3" descr="Back with solid fill">
            <a:extLst>
              <a:ext uri="{FF2B5EF4-FFF2-40B4-BE49-F238E27FC236}">
                <a16:creationId xmlns:a16="http://schemas.microsoft.com/office/drawing/2014/main" id="{BEACEDD3-5A8D-D11F-B343-328124E33CA3}"/>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6" name="TextBox 15">
            <a:extLst>
              <a:ext uri="{FF2B5EF4-FFF2-40B4-BE49-F238E27FC236}">
                <a16:creationId xmlns:a16="http://schemas.microsoft.com/office/drawing/2014/main" id="{1C4CD5F0-2B71-3DC7-B81D-CDBA7AE5474A}"/>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16</xdr:col>
      <xdr:colOff>2015333</xdr:colOff>
      <xdr:row>2</xdr:row>
      <xdr:rowOff>2</xdr:rowOff>
    </xdr:from>
    <xdr:to>
      <xdr:col>17</xdr:col>
      <xdr:colOff>451069</xdr:colOff>
      <xdr:row>3</xdr:row>
      <xdr:rowOff>168431</xdr:rowOff>
    </xdr:to>
    <xdr:grpSp>
      <xdr:nvGrpSpPr>
        <xdr:cNvPr id="17" name="Group 16">
          <a:hlinkClick xmlns:r="http://schemas.openxmlformats.org/officeDocument/2006/relationships" r:id="rId9" tooltip="Go to Previous page"/>
          <a:extLst>
            <a:ext uri="{FF2B5EF4-FFF2-40B4-BE49-F238E27FC236}">
              <a16:creationId xmlns:a16="http://schemas.microsoft.com/office/drawing/2014/main" id="{F53BED9A-08D7-4F96-BFD5-145258C634AC}"/>
            </a:ext>
          </a:extLst>
        </xdr:cNvPr>
        <xdr:cNvGrpSpPr/>
      </xdr:nvGrpSpPr>
      <xdr:grpSpPr>
        <a:xfrm>
          <a:off x="11502233" y="387352"/>
          <a:ext cx="689986" cy="371629"/>
          <a:chOff x="3207261" y="2135607"/>
          <a:chExt cx="689910" cy="602421"/>
        </a:xfrm>
      </xdr:grpSpPr>
      <xdr:sp macro="" textlink="">
        <xdr:nvSpPr>
          <xdr:cNvPr id="18" name="Rectangle 17">
            <a:extLst>
              <a:ext uri="{FF2B5EF4-FFF2-40B4-BE49-F238E27FC236}">
                <a16:creationId xmlns:a16="http://schemas.microsoft.com/office/drawing/2014/main" id="{F21F3B3A-282E-3342-C4F2-17FC35D54450}"/>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Graphic 3" descr="Back with solid fill">
            <a:extLst>
              <a:ext uri="{FF2B5EF4-FFF2-40B4-BE49-F238E27FC236}">
                <a16:creationId xmlns:a16="http://schemas.microsoft.com/office/drawing/2014/main" id="{8454A6EB-7569-B2FB-5B5E-32B7AC99C9F4}"/>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0" name="TextBox 19">
            <a:extLst>
              <a:ext uri="{FF2B5EF4-FFF2-40B4-BE49-F238E27FC236}">
                <a16:creationId xmlns:a16="http://schemas.microsoft.com/office/drawing/2014/main" id="{BA55A3BD-2A25-1E65-4F76-302F1FD193F8}"/>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18</xdr:col>
      <xdr:colOff>145799</xdr:colOff>
      <xdr:row>2</xdr:row>
      <xdr:rowOff>0</xdr:rowOff>
    </xdr:from>
    <xdr:to>
      <xdr:col>19</xdr:col>
      <xdr:colOff>133344</xdr:colOff>
      <xdr:row>3</xdr:row>
      <xdr:rowOff>168429</xdr:rowOff>
    </xdr:to>
    <xdr:grpSp>
      <xdr:nvGrpSpPr>
        <xdr:cNvPr id="21" name="Group 20">
          <a:hlinkClick xmlns:r="http://schemas.openxmlformats.org/officeDocument/2006/relationships" r:id="rId10" tooltip="Go to Next page"/>
          <a:extLst>
            <a:ext uri="{FF2B5EF4-FFF2-40B4-BE49-F238E27FC236}">
              <a16:creationId xmlns:a16="http://schemas.microsoft.com/office/drawing/2014/main" id="{0BB026BE-EE42-4FF8-A111-A0ECEBFEECE1}"/>
            </a:ext>
          </a:extLst>
        </xdr:cNvPr>
        <xdr:cNvGrpSpPr/>
      </xdr:nvGrpSpPr>
      <xdr:grpSpPr>
        <a:xfrm rot="10800000">
          <a:off x="12445749" y="387350"/>
          <a:ext cx="584445" cy="371629"/>
          <a:chOff x="3185180" y="2135611"/>
          <a:chExt cx="648224" cy="602421"/>
        </a:xfrm>
      </xdr:grpSpPr>
      <xdr:sp macro="" textlink="">
        <xdr:nvSpPr>
          <xdr:cNvPr id="22" name="Rectangle 21">
            <a:extLst>
              <a:ext uri="{FF2B5EF4-FFF2-40B4-BE49-F238E27FC236}">
                <a16:creationId xmlns:a16="http://schemas.microsoft.com/office/drawing/2014/main" id="{9F87C21A-D7A4-013B-0DF1-EE733AD959F3}"/>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3" name="Graphic 3" descr="Back with solid fill">
            <a:extLst>
              <a:ext uri="{FF2B5EF4-FFF2-40B4-BE49-F238E27FC236}">
                <a16:creationId xmlns:a16="http://schemas.microsoft.com/office/drawing/2014/main" id="{9EE32F33-6CA3-D912-9978-F7A23C9B3965}"/>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4" name="TextBox 23">
            <a:extLst>
              <a:ext uri="{FF2B5EF4-FFF2-40B4-BE49-F238E27FC236}">
                <a16:creationId xmlns:a16="http://schemas.microsoft.com/office/drawing/2014/main" id="{21600702-D6A1-A027-E2C8-1A2838B0939D}"/>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16</xdr:col>
      <xdr:colOff>1533048</xdr:colOff>
      <xdr:row>2</xdr:row>
      <xdr:rowOff>44606</xdr:rowOff>
    </xdr:from>
    <xdr:to>
      <xdr:col>16</xdr:col>
      <xdr:colOff>1787204</xdr:colOff>
      <xdr:row>3</xdr:row>
      <xdr:rowOff>106378</xdr:rowOff>
    </xdr:to>
    <xdr:grpSp>
      <xdr:nvGrpSpPr>
        <xdr:cNvPr id="25" name="Group 24">
          <a:hlinkClick xmlns:r="http://schemas.openxmlformats.org/officeDocument/2006/relationships" r:id="rId11" tooltip="Go to Gallery"/>
          <a:extLst>
            <a:ext uri="{FF2B5EF4-FFF2-40B4-BE49-F238E27FC236}">
              <a16:creationId xmlns:a16="http://schemas.microsoft.com/office/drawing/2014/main" id="{815CBAF7-2D3B-4773-A03A-658A156B56D1}"/>
            </a:ext>
          </a:extLst>
        </xdr:cNvPr>
        <xdr:cNvGrpSpPr/>
      </xdr:nvGrpSpPr>
      <xdr:grpSpPr>
        <a:xfrm>
          <a:off x="11019948" y="431956"/>
          <a:ext cx="254156" cy="264972"/>
          <a:chOff x="5270413" y="829190"/>
          <a:chExt cx="251434" cy="252272"/>
        </a:xfrm>
      </xdr:grpSpPr>
      <xdr:sp macro="" textlink="">
        <xdr:nvSpPr>
          <xdr:cNvPr id="26" name="Rectangle 25">
            <a:extLst>
              <a:ext uri="{FF2B5EF4-FFF2-40B4-BE49-F238E27FC236}">
                <a16:creationId xmlns:a16="http://schemas.microsoft.com/office/drawing/2014/main" id="{DA7D5EC3-7482-A9AE-1784-C0C792A58FEC}"/>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8464C982-94EA-FB3A-6579-EDD8463E2C7C}"/>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630DA848-2130-0E47-8F97-4183F83C8D67}"/>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3395F2EC-7897-949B-88B7-A2D1D173C1A8}"/>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8CDD1692-37CA-8C67-6739-8108FCED05A0}"/>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FDB64906-6111-570C-9E83-141A61F2F6AC}"/>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D74833E6-6C3C-B947-CFDD-9138DB5F631C}"/>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43C21695-BAED-95F6-AD7B-2F4CE090FEF8}"/>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2AA091AE-08F2-732A-A12C-B6D6A641D750}"/>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66675</xdr:rowOff>
    </xdr:from>
    <xdr:to>
      <xdr:col>3</xdr:col>
      <xdr:colOff>0</xdr:colOff>
      <xdr:row>4</xdr:row>
      <xdr:rowOff>38100</xdr:rowOff>
    </xdr:to>
    <xdr:sp macro="" textlink="">
      <xdr:nvSpPr>
        <xdr:cNvPr id="35" name="Rectangle 34">
          <a:hlinkClick xmlns:r="http://schemas.openxmlformats.org/officeDocument/2006/relationships" r:id="rId7" tooltip="Visit our website"/>
          <a:extLst>
            <a:ext uri="{FF2B5EF4-FFF2-40B4-BE49-F238E27FC236}">
              <a16:creationId xmlns:a16="http://schemas.microsoft.com/office/drawing/2014/main" id="{5E464927-8A9C-4A81-B5DA-DA5016FF3623}"/>
            </a:ext>
          </a:extLst>
        </xdr:cNvPr>
        <xdr:cNvSpPr/>
      </xdr:nvSpPr>
      <xdr:spPr>
        <a:xfrm>
          <a:off x="200025" y="2571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1.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0BC12BCA-374D-4FCB-9D5F-7E687059C9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11</xdr:col>
      <xdr:colOff>333374</xdr:colOff>
      <xdr:row>1</xdr:row>
      <xdr:rowOff>68894</xdr:rowOff>
    </xdr:from>
    <xdr:to>
      <xdr:col>15</xdr:col>
      <xdr:colOff>1495424</xdr:colOff>
      <xdr:row>4</xdr:row>
      <xdr:rowOff>142875</xdr:rowOff>
    </xdr:to>
    <xdr:grpSp>
      <xdr:nvGrpSpPr>
        <xdr:cNvPr id="3" name="Group 2">
          <a:hlinkClick xmlns:r="http://schemas.openxmlformats.org/officeDocument/2006/relationships" r:id="rId2" tooltip="Subscribe to our YouTube Channel"/>
          <a:extLst>
            <a:ext uri="{FF2B5EF4-FFF2-40B4-BE49-F238E27FC236}">
              <a16:creationId xmlns:a16="http://schemas.microsoft.com/office/drawing/2014/main" id="{DD6902C9-7C55-449E-8726-CA2696BA0040}"/>
            </a:ext>
          </a:extLst>
        </xdr:cNvPr>
        <xdr:cNvGrpSpPr/>
      </xdr:nvGrpSpPr>
      <xdr:grpSpPr>
        <a:xfrm>
          <a:off x="5540374" y="253044"/>
          <a:ext cx="3187700" cy="683581"/>
          <a:chOff x="6877050" y="1735769"/>
          <a:chExt cx="3209925" cy="616906"/>
        </a:xfrm>
      </xdr:grpSpPr>
      <xdr:pic>
        <xdr:nvPicPr>
          <xdr:cNvPr id="4" name="Picture 3">
            <a:extLst>
              <a:ext uri="{FF2B5EF4-FFF2-40B4-BE49-F238E27FC236}">
                <a16:creationId xmlns:a16="http://schemas.microsoft.com/office/drawing/2014/main" id="{A239E2DD-21D2-2738-BEA5-F835D8D0BDCC}"/>
              </a:ext>
            </a:extLst>
          </xdr:cNvPr>
          <xdr:cNvPicPr>
            <a:picLocks noChangeAspect="1"/>
          </xdr:cNvPicPr>
        </xdr:nvPicPr>
        <xdr:blipFill rotWithShape="1">
          <a:blip xmlns:r="http://schemas.openxmlformats.org/officeDocument/2006/relationships" r:embed="rId3"/>
          <a:srcRect l="21422" r="22564" b="61165"/>
          <a:stretch/>
        </xdr:blipFill>
        <xdr:spPr>
          <a:xfrm>
            <a:off x="6877050" y="1735769"/>
            <a:ext cx="3190875" cy="616906"/>
          </a:xfrm>
          <a:prstGeom prst="roundRect">
            <a:avLst>
              <a:gd name="adj" fmla="val 18431"/>
            </a:avLst>
          </a:prstGeom>
        </xdr:spPr>
      </xdr:pic>
      <xdr:pic>
        <xdr:nvPicPr>
          <xdr:cNvPr id="5" name="Picture 4">
            <a:hlinkClick xmlns:r="http://schemas.openxmlformats.org/officeDocument/2006/relationships" r:id="rId4" tooltip="Subscribe to our YouTube Channel"/>
            <a:extLst>
              <a:ext uri="{FF2B5EF4-FFF2-40B4-BE49-F238E27FC236}">
                <a16:creationId xmlns:a16="http://schemas.microsoft.com/office/drawing/2014/main" id="{717F90F7-E413-F5A7-B81F-5B275E8F70CA}"/>
              </a:ext>
            </a:extLst>
          </xdr:cNvPr>
          <xdr:cNvPicPr>
            <a:picLocks noChangeAspect="1"/>
          </xdr:cNvPicPr>
        </xdr:nvPicPr>
        <xdr:blipFill>
          <a:blip xmlns:r="http://schemas.openxmlformats.org/officeDocument/2006/relationships" r:embed="rId5"/>
          <a:stretch>
            <a:fillRect/>
          </a:stretch>
        </xdr:blipFill>
        <xdr:spPr>
          <a:xfrm>
            <a:off x="8781626" y="1763078"/>
            <a:ext cx="1072787" cy="327858"/>
          </a:xfrm>
          <a:prstGeom prst="roundRect">
            <a:avLst>
              <a:gd name="adj" fmla="val 25491"/>
            </a:avLst>
          </a:prstGeom>
        </xdr:spPr>
      </xdr:pic>
      <xdr:pic>
        <xdr:nvPicPr>
          <xdr:cNvPr id="6" name="Picture 5">
            <a:extLst>
              <a:ext uri="{FF2B5EF4-FFF2-40B4-BE49-F238E27FC236}">
                <a16:creationId xmlns:a16="http://schemas.microsoft.com/office/drawing/2014/main" id="{0712E577-02A3-E4E1-75D0-BAF9BCA1F4B1}"/>
              </a:ext>
            </a:extLst>
          </xdr:cNvPr>
          <xdr:cNvPicPr>
            <a:picLocks noChangeAspect="1"/>
          </xdr:cNvPicPr>
        </xdr:nvPicPr>
        <xdr:blipFill>
          <a:blip xmlns:r="http://schemas.openxmlformats.org/officeDocument/2006/relationships" r:embed="rId6"/>
          <a:stretch>
            <a:fillRect/>
          </a:stretch>
        </xdr:blipFill>
        <xdr:spPr>
          <a:xfrm>
            <a:off x="7324725" y="1777199"/>
            <a:ext cx="962025" cy="237126"/>
          </a:xfrm>
          <a:prstGeom prst="roundRect">
            <a:avLst>
              <a:gd name="adj" fmla="val 26144"/>
            </a:avLst>
          </a:prstGeom>
        </xdr:spPr>
      </xdr:pic>
      <xdr:sp macro="" textlink="">
        <xdr:nvSpPr>
          <xdr:cNvPr id="7" name="TextBox 6">
            <a:extLst>
              <a:ext uri="{FF2B5EF4-FFF2-40B4-BE49-F238E27FC236}">
                <a16:creationId xmlns:a16="http://schemas.microsoft.com/office/drawing/2014/main" id="{B50FDFB0-A774-2C7A-9F63-81B7534B1F32}"/>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3</xdr:col>
      <xdr:colOff>133351</xdr:colOff>
      <xdr:row>1</xdr:row>
      <xdr:rowOff>68894</xdr:rowOff>
    </xdr:from>
    <xdr:to>
      <xdr:col>11</xdr:col>
      <xdr:colOff>123825</xdr:colOff>
      <xdr:row>4</xdr:row>
      <xdr:rowOff>142875</xdr:rowOff>
    </xdr:to>
    <xdr:grpSp>
      <xdr:nvGrpSpPr>
        <xdr:cNvPr id="8" name="Group 7">
          <a:hlinkClick xmlns:r="http://schemas.openxmlformats.org/officeDocument/2006/relationships" r:id="rId7" tooltip="Visit our website"/>
          <a:extLst>
            <a:ext uri="{FF2B5EF4-FFF2-40B4-BE49-F238E27FC236}">
              <a16:creationId xmlns:a16="http://schemas.microsoft.com/office/drawing/2014/main" id="{CCF7BA52-4EC2-4CE9-B97A-31131BBE151D}"/>
            </a:ext>
          </a:extLst>
        </xdr:cNvPr>
        <xdr:cNvGrpSpPr/>
      </xdr:nvGrpSpPr>
      <xdr:grpSpPr>
        <a:xfrm>
          <a:off x="2362201" y="253044"/>
          <a:ext cx="2968624" cy="683581"/>
          <a:chOff x="3048001" y="334328"/>
          <a:chExt cx="2724150" cy="616906"/>
        </a:xfrm>
      </xdr:grpSpPr>
      <xdr:pic>
        <xdr:nvPicPr>
          <xdr:cNvPr id="9" name="Picture 8">
            <a:extLst>
              <a:ext uri="{FF2B5EF4-FFF2-40B4-BE49-F238E27FC236}">
                <a16:creationId xmlns:a16="http://schemas.microsoft.com/office/drawing/2014/main" id="{4FE024FF-DBCA-5E19-164F-D51F8DA70602}"/>
              </a:ext>
            </a:extLst>
          </xdr:cNvPr>
          <xdr:cNvPicPr>
            <a:picLocks noChangeAspect="1"/>
          </xdr:cNvPicPr>
        </xdr:nvPicPr>
        <xdr:blipFill rotWithShape="1">
          <a:blip xmlns:r="http://schemas.openxmlformats.org/officeDocument/2006/relationships" r:embed="rId3"/>
          <a:srcRect l="21422" r="22564" b="61165"/>
          <a:stretch/>
        </xdr:blipFill>
        <xdr:spPr>
          <a:xfrm>
            <a:off x="3048001" y="334328"/>
            <a:ext cx="2724150" cy="616906"/>
          </a:xfrm>
          <a:prstGeom prst="roundRect">
            <a:avLst>
              <a:gd name="adj" fmla="val 18431"/>
            </a:avLst>
          </a:prstGeom>
        </xdr:spPr>
      </xdr:pic>
      <xdr:sp macro="" textlink="">
        <xdr:nvSpPr>
          <xdr:cNvPr id="10" name="TextBox 9">
            <a:extLst>
              <a:ext uri="{FF2B5EF4-FFF2-40B4-BE49-F238E27FC236}">
                <a16:creationId xmlns:a16="http://schemas.microsoft.com/office/drawing/2014/main" id="{73A50665-5B8D-4BC6-DC46-556FD1433120}"/>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11" name="Picture 10">
            <a:extLst>
              <a:ext uri="{FF2B5EF4-FFF2-40B4-BE49-F238E27FC236}">
                <a16:creationId xmlns:a16="http://schemas.microsoft.com/office/drawing/2014/main" id="{E449CE1C-7AC6-0406-CA21-58A7E2805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12" name="TextBox 11">
            <a:extLst>
              <a:ext uri="{FF2B5EF4-FFF2-40B4-BE49-F238E27FC236}">
                <a16:creationId xmlns:a16="http://schemas.microsoft.com/office/drawing/2014/main" id="{C092226B-6E6A-FD87-8AFA-1662B75FD6F9}"/>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16</xdr:col>
      <xdr:colOff>352425</xdr:colOff>
      <xdr:row>2</xdr:row>
      <xdr:rowOff>47627</xdr:rowOff>
    </xdr:from>
    <xdr:to>
      <xdr:col>16</xdr:col>
      <xdr:colOff>1304919</xdr:colOff>
      <xdr:row>3</xdr:row>
      <xdr:rowOff>133577</xdr:rowOff>
    </xdr:to>
    <xdr:grpSp>
      <xdr:nvGrpSpPr>
        <xdr:cNvPr id="13" name="Group 12">
          <a:hlinkClick xmlns:r="http://schemas.openxmlformats.org/officeDocument/2006/relationships" r:id="rId8" tooltip="Go to Cover page"/>
          <a:extLst>
            <a:ext uri="{FF2B5EF4-FFF2-40B4-BE49-F238E27FC236}">
              <a16:creationId xmlns:a16="http://schemas.microsoft.com/office/drawing/2014/main" id="{03C143B3-A3F4-472D-865D-285924E9486F}"/>
            </a:ext>
          </a:extLst>
        </xdr:cNvPr>
        <xdr:cNvGrpSpPr/>
      </xdr:nvGrpSpPr>
      <xdr:grpSpPr>
        <a:xfrm>
          <a:off x="9839325" y="434977"/>
          <a:ext cx="952494" cy="289150"/>
          <a:chOff x="3615235" y="2135609"/>
          <a:chExt cx="1011478" cy="463990"/>
        </a:xfrm>
      </xdr:grpSpPr>
      <xdr:sp macro="" textlink="">
        <xdr:nvSpPr>
          <xdr:cNvPr id="14" name="Rectangle 13">
            <a:extLst>
              <a:ext uri="{FF2B5EF4-FFF2-40B4-BE49-F238E27FC236}">
                <a16:creationId xmlns:a16="http://schemas.microsoft.com/office/drawing/2014/main" id="{CCFA63C6-D1DC-CFD3-493D-7C00F22DE3D7}"/>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5" name="Graphic 3" descr="Back with solid fill">
            <a:extLst>
              <a:ext uri="{FF2B5EF4-FFF2-40B4-BE49-F238E27FC236}">
                <a16:creationId xmlns:a16="http://schemas.microsoft.com/office/drawing/2014/main" id="{E2AC69FC-1D89-FE55-32F7-189B53B6841B}"/>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6" name="TextBox 15">
            <a:extLst>
              <a:ext uri="{FF2B5EF4-FFF2-40B4-BE49-F238E27FC236}">
                <a16:creationId xmlns:a16="http://schemas.microsoft.com/office/drawing/2014/main" id="{78F2D67C-BB79-D524-E509-4CC939797444}"/>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16</xdr:col>
      <xdr:colOff>2015333</xdr:colOff>
      <xdr:row>2</xdr:row>
      <xdr:rowOff>2</xdr:rowOff>
    </xdr:from>
    <xdr:to>
      <xdr:col>17</xdr:col>
      <xdr:colOff>451069</xdr:colOff>
      <xdr:row>3</xdr:row>
      <xdr:rowOff>168431</xdr:rowOff>
    </xdr:to>
    <xdr:grpSp>
      <xdr:nvGrpSpPr>
        <xdr:cNvPr id="17" name="Group 16">
          <a:hlinkClick xmlns:r="http://schemas.openxmlformats.org/officeDocument/2006/relationships" r:id="rId9" tooltip="Go to Previous page"/>
          <a:extLst>
            <a:ext uri="{FF2B5EF4-FFF2-40B4-BE49-F238E27FC236}">
              <a16:creationId xmlns:a16="http://schemas.microsoft.com/office/drawing/2014/main" id="{0D57B72E-C826-49E1-A591-F9B2A68ACB11}"/>
            </a:ext>
          </a:extLst>
        </xdr:cNvPr>
        <xdr:cNvGrpSpPr/>
      </xdr:nvGrpSpPr>
      <xdr:grpSpPr>
        <a:xfrm>
          <a:off x="11502233" y="387352"/>
          <a:ext cx="689986" cy="371629"/>
          <a:chOff x="3207261" y="2135607"/>
          <a:chExt cx="689910" cy="602421"/>
        </a:xfrm>
      </xdr:grpSpPr>
      <xdr:sp macro="" textlink="">
        <xdr:nvSpPr>
          <xdr:cNvPr id="18" name="Rectangle 17">
            <a:extLst>
              <a:ext uri="{FF2B5EF4-FFF2-40B4-BE49-F238E27FC236}">
                <a16:creationId xmlns:a16="http://schemas.microsoft.com/office/drawing/2014/main" id="{95A452C7-F3AD-62F2-ED1A-79451A64B6D4}"/>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Graphic 3" descr="Back with solid fill">
            <a:extLst>
              <a:ext uri="{FF2B5EF4-FFF2-40B4-BE49-F238E27FC236}">
                <a16:creationId xmlns:a16="http://schemas.microsoft.com/office/drawing/2014/main" id="{25F4DAF7-0F55-4490-0AF4-46CF999A7704}"/>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0" name="TextBox 19">
            <a:extLst>
              <a:ext uri="{FF2B5EF4-FFF2-40B4-BE49-F238E27FC236}">
                <a16:creationId xmlns:a16="http://schemas.microsoft.com/office/drawing/2014/main" id="{4B1EB231-59AD-F661-3C43-3B6A5726FEBB}"/>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18</xdr:col>
      <xdr:colOff>145799</xdr:colOff>
      <xdr:row>2</xdr:row>
      <xdr:rowOff>0</xdr:rowOff>
    </xdr:from>
    <xdr:to>
      <xdr:col>19</xdr:col>
      <xdr:colOff>133344</xdr:colOff>
      <xdr:row>3</xdr:row>
      <xdr:rowOff>168429</xdr:rowOff>
    </xdr:to>
    <xdr:grpSp>
      <xdr:nvGrpSpPr>
        <xdr:cNvPr id="21" name="Group 20">
          <a:hlinkClick xmlns:r="http://schemas.openxmlformats.org/officeDocument/2006/relationships" r:id="rId10" tooltip="Go to Next page"/>
          <a:extLst>
            <a:ext uri="{FF2B5EF4-FFF2-40B4-BE49-F238E27FC236}">
              <a16:creationId xmlns:a16="http://schemas.microsoft.com/office/drawing/2014/main" id="{E6FC10FF-5E28-4858-9ECB-0C22C03A06A9}"/>
            </a:ext>
          </a:extLst>
        </xdr:cNvPr>
        <xdr:cNvGrpSpPr/>
      </xdr:nvGrpSpPr>
      <xdr:grpSpPr>
        <a:xfrm rot="10800000">
          <a:off x="12445749" y="387350"/>
          <a:ext cx="584445" cy="371629"/>
          <a:chOff x="3185180" y="2135611"/>
          <a:chExt cx="648224" cy="602421"/>
        </a:xfrm>
      </xdr:grpSpPr>
      <xdr:sp macro="" textlink="">
        <xdr:nvSpPr>
          <xdr:cNvPr id="22" name="Rectangle 21">
            <a:extLst>
              <a:ext uri="{FF2B5EF4-FFF2-40B4-BE49-F238E27FC236}">
                <a16:creationId xmlns:a16="http://schemas.microsoft.com/office/drawing/2014/main" id="{F12FE689-3F67-700A-78D8-E0C82B7E4EAA}"/>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3" name="Graphic 3" descr="Back with solid fill">
            <a:extLst>
              <a:ext uri="{FF2B5EF4-FFF2-40B4-BE49-F238E27FC236}">
                <a16:creationId xmlns:a16="http://schemas.microsoft.com/office/drawing/2014/main" id="{8B07D4C2-1029-8A6F-B379-B560D9A8F017}"/>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4" name="TextBox 23">
            <a:extLst>
              <a:ext uri="{FF2B5EF4-FFF2-40B4-BE49-F238E27FC236}">
                <a16:creationId xmlns:a16="http://schemas.microsoft.com/office/drawing/2014/main" id="{6CD0F676-A241-37F7-A207-052E2374B176}"/>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16</xdr:col>
      <xdr:colOff>1533048</xdr:colOff>
      <xdr:row>2</xdr:row>
      <xdr:rowOff>44606</xdr:rowOff>
    </xdr:from>
    <xdr:to>
      <xdr:col>16</xdr:col>
      <xdr:colOff>1787204</xdr:colOff>
      <xdr:row>3</xdr:row>
      <xdr:rowOff>106378</xdr:rowOff>
    </xdr:to>
    <xdr:grpSp>
      <xdr:nvGrpSpPr>
        <xdr:cNvPr id="25" name="Group 24">
          <a:hlinkClick xmlns:r="http://schemas.openxmlformats.org/officeDocument/2006/relationships" r:id="rId11" tooltip="Go to Gallery"/>
          <a:extLst>
            <a:ext uri="{FF2B5EF4-FFF2-40B4-BE49-F238E27FC236}">
              <a16:creationId xmlns:a16="http://schemas.microsoft.com/office/drawing/2014/main" id="{F7A22EE3-812D-4B75-8DD7-0721929EBDCB}"/>
            </a:ext>
          </a:extLst>
        </xdr:cNvPr>
        <xdr:cNvGrpSpPr/>
      </xdr:nvGrpSpPr>
      <xdr:grpSpPr>
        <a:xfrm>
          <a:off x="11019948" y="431956"/>
          <a:ext cx="254156" cy="264972"/>
          <a:chOff x="5270413" y="829190"/>
          <a:chExt cx="251434" cy="252272"/>
        </a:xfrm>
      </xdr:grpSpPr>
      <xdr:sp macro="" textlink="">
        <xdr:nvSpPr>
          <xdr:cNvPr id="26" name="Rectangle 25">
            <a:extLst>
              <a:ext uri="{FF2B5EF4-FFF2-40B4-BE49-F238E27FC236}">
                <a16:creationId xmlns:a16="http://schemas.microsoft.com/office/drawing/2014/main" id="{4351092D-6318-D45F-9506-8CAE77B82198}"/>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15FD2CF9-0294-C09D-EA6F-D2EA157C6464}"/>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311DC028-EC98-11B5-CB5C-DC1C71A11D9A}"/>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CDF5291D-9733-929F-BACB-E15412B82056}"/>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4E1D630A-7B59-6C3E-6409-01AD8B440BDE}"/>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F6D3F0ED-1EDF-2B78-CD2D-43DF13D12C01}"/>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E281C9E7-B69D-5270-F761-B06530D32ED1}"/>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D93C102D-8E22-AE79-C8D2-C0B181A750AE}"/>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C4F1068D-1B86-9141-19D6-1394EBD60F47}"/>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76200</xdr:rowOff>
    </xdr:from>
    <xdr:to>
      <xdr:col>3</xdr:col>
      <xdr:colOff>0</xdr:colOff>
      <xdr:row>4</xdr:row>
      <xdr:rowOff>47625</xdr:rowOff>
    </xdr:to>
    <xdr:sp macro="" textlink="">
      <xdr:nvSpPr>
        <xdr:cNvPr id="35" name="Rectangle 34">
          <a:hlinkClick xmlns:r="http://schemas.openxmlformats.org/officeDocument/2006/relationships" r:id="rId7" tooltip="Visit our website"/>
          <a:extLst>
            <a:ext uri="{FF2B5EF4-FFF2-40B4-BE49-F238E27FC236}">
              <a16:creationId xmlns:a16="http://schemas.microsoft.com/office/drawing/2014/main" id="{1B535748-7C86-42B2-9C07-4289E3E9321E}"/>
            </a:ext>
          </a:extLst>
        </xdr:cNvPr>
        <xdr:cNvSpPr/>
      </xdr:nvSpPr>
      <xdr:spPr>
        <a:xfrm>
          <a:off x="200025" y="266700"/>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2.xml><?xml version="1.0" encoding="utf-8"?>
<xdr:wsDr xmlns:xdr="http://schemas.openxmlformats.org/drawingml/2006/spreadsheetDrawing" xmlns:a="http://schemas.openxmlformats.org/drawingml/2006/main">
  <xdr:oneCellAnchor>
    <xdr:from>
      <xdr:col>3</xdr:col>
      <xdr:colOff>5619750</xdr:colOff>
      <xdr:row>24</xdr:row>
      <xdr:rowOff>45035</xdr:rowOff>
    </xdr:from>
    <xdr:ext cx="3561680" cy="3726163"/>
    <xdr:pic>
      <xdr:nvPicPr>
        <xdr:cNvPr id="2" name="Picture 1">
          <a:extLst>
            <a:ext uri="{FF2B5EF4-FFF2-40B4-BE49-F238E27FC236}">
              <a16:creationId xmlns:a16="http://schemas.microsoft.com/office/drawing/2014/main" id="{6056E6B3-6EDE-4CD7-A09F-56877671DEC2}"/>
            </a:ext>
          </a:extLst>
        </xdr:cNvPr>
        <xdr:cNvPicPr>
          <a:picLocks noChangeAspect="1"/>
        </xdr:cNvPicPr>
      </xdr:nvPicPr>
      <xdr:blipFill>
        <a:blip xmlns:r="http://schemas.openxmlformats.org/officeDocument/2006/relationships" r:embed="rId1"/>
        <a:stretch>
          <a:fillRect/>
        </a:stretch>
      </xdr:blipFill>
      <xdr:spPr>
        <a:xfrm>
          <a:off x="8524875" y="3702635"/>
          <a:ext cx="3561680" cy="3726163"/>
        </a:xfrm>
        <a:prstGeom prst="rect">
          <a:avLst/>
        </a:prstGeom>
      </xdr:spPr>
    </xdr:pic>
    <xdr:clientData/>
  </xdr:oneCellAnchor>
  <xdr:oneCellAnchor>
    <xdr:from>
      <xdr:col>1</xdr:col>
      <xdr:colOff>9525</xdr:colOff>
      <xdr:row>1</xdr:row>
      <xdr:rowOff>38100</xdr:rowOff>
    </xdr:from>
    <xdr:ext cx="361950" cy="361950"/>
    <xdr:pic>
      <xdr:nvPicPr>
        <xdr:cNvPr id="3" name="Picture 2">
          <a:extLst>
            <a:ext uri="{FF2B5EF4-FFF2-40B4-BE49-F238E27FC236}">
              <a16:creationId xmlns:a16="http://schemas.microsoft.com/office/drawing/2014/main" id="{8F70C771-4333-4C55-BDEC-3183A08249E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3</xdr:col>
      <xdr:colOff>2247899</xdr:colOff>
      <xdr:row>1</xdr:row>
      <xdr:rowOff>68894</xdr:rowOff>
    </xdr:from>
    <xdr:to>
      <xdr:col>3</xdr:col>
      <xdr:colOff>5391149</xdr:colOff>
      <xdr:row>4</xdr:row>
      <xdr:rowOff>142875</xdr:rowOff>
    </xdr:to>
    <xdr:grpSp>
      <xdr:nvGrpSpPr>
        <xdr:cNvPr id="4" name="Group 3">
          <a:hlinkClick xmlns:r="http://schemas.openxmlformats.org/officeDocument/2006/relationships" r:id="rId3" tooltip="Subscribe to our YouTube Channel"/>
          <a:extLst>
            <a:ext uri="{FF2B5EF4-FFF2-40B4-BE49-F238E27FC236}">
              <a16:creationId xmlns:a16="http://schemas.microsoft.com/office/drawing/2014/main" id="{9A383F44-FA17-463F-901F-3B2E2F4C9285}"/>
            </a:ext>
          </a:extLst>
        </xdr:cNvPr>
        <xdr:cNvGrpSpPr/>
      </xdr:nvGrpSpPr>
      <xdr:grpSpPr>
        <a:xfrm>
          <a:off x="5289549" y="253044"/>
          <a:ext cx="3143250" cy="683581"/>
          <a:chOff x="6877050" y="1735769"/>
          <a:chExt cx="3209925" cy="616906"/>
        </a:xfrm>
      </xdr:grpSpPr>
      <xdr:pic>
        <xdr:nvPicPr>
          <xdr:cNvPr id="5" name="Picture 4">
            <a:extLst>
              <a:ext uri="{FF2B5EF4-FFF2-40B4-BE49-F238E27FC236}">
                <a16:creationId xmlns:a16="http://schemas.microsoft.com/office/drawing/2014/main" id="{82EA218E-6A87-4388-4859-2312DEE6E7DF}"/>
              </a:ext>
            </a:extLst>
          </xdr:cNvPr>
          <xdr:cNvPicPr>
            <a:picLocks noChangeAspect="1"/>
          </xdr:cNvPicPr>
        </xdr:nvPicPr>
        <xdr:blipFill rotWithShape="1">
          <a:blip xmlns:r="http://schemas.openxmlformats.org/officeDocument/2006/relationships" r:embed="rId4"/>
          <a:srcRect l="21422" r="22564" b="61165"/>
          <a:stretch/>
        </xdr:blipFill>
        <xdr:spPr>
          <a:xfrm>
            <a:off x="6877050" y="1735769"/>
            <a:ext cx="3190875" cy="616906"/>
          </a:xfrm>
          <a:prstGeom prst="roundRect">
            <a:avLst>
              <a:gd name="adj" fmla="val 18431"/>
            </a:avLst>
          </a:prstGeom>
        </xdr:spPr>
      </xdr:pic>
      <xdr:pic>
        <xdr:nvPicPr>
          <xdr:cNvPr id="6" name="Picture 5">
            <a:hlinkClick xmlns:r="http://schemas.openxmlformats.org/officeDocument/2006/relationships" r:id="rId5" tooltip="Subscribe to our YouTube Channel"/>
            <a:extLst>
              <a:ext uri="{FF2B5EF4-FFF2-40B4-BE49-F238E27FC236}">
                <a16:creationId xmlns:a16="http://schemas.microsoft.com/office/drawing/2014/main" id="{56A67785-9D2E-487B-B872-14348C38DBFE}"/>
              </a:ext>
            </a:extLst>
          </xdr:cNvPr>
          <xdr:cNvPicPr>
            <a:picLocks noChangeAspect="1"/>
          </xdr:cNvPicPr>
        </xdr:nvPicPr>
        <xdr:blipFill>
          <a:blip xmlns:r="http://schemas.openxmlformats.org/officeDocument/2006/relationships" r:embed="rId6"/>
          <a:stretch>
            <a:fillRect/>
          </a:stretch>
        </xdr:blipFill>
        <xdr:spPr>
          <a:xfrm>
            <a:off x="8781626" y="1763078"/>
            <a:ext cx="1072787" cy="327858"/>
          </a:xfrm>
          <a:prstGeom prst="roundRect">
            <a:avLst>
              <a:gd name="adj" fmla="val 25491"/>
            </a:avLst>
          </a:prstGeom>
        </xdr:spPr>
      </xdr:pic>
      <xdr:pic>
        <xdr:nvPicPr>
          <xdr:cNvPr id="7" name="Picture 6">
            <a:extLst>
              <a:ext uri="{FF2B5EF4-FFF2-40B4-BE49-F238E27FC236}">
                <a16:creationId xmlns:a16="http://schemas.microsoft.com/office/drawing/2014/main" id="{9A8C565C-DFB7-25FB-86F8-23959EC7C2B9}"/>
              </a:ext>
            </a:extLst>
          </xdr:cNvPr>
          <xdr:cNvPicPr>
            <a:picLocks noChangeAspect="1"/>
          </xdr:cNvPicPr>
        </xdr:nvPicPr>
        <xdr:blipFill>
          <a:blip xmlns:r="http://schemas.openxmlformats.org/officeDocument/2006/relationships" r:embed="rId7"/>
          <a:stretch>
            <a:fillRect/>
          </a:stretch>
        </xdr:blipFill>
        <xdr:spPr>
          <a:xfrm>
            <a:off x="7324725" y="1777199"/>
            <a:ext cx="962025" cy="237126"/>
          </a:xfrm>
          <a:prstGeom prst="roundRect">
            <a:avLst>
              <a:gd name="adj" fmla="val 26144"/>
            </a:avLst>
          </a:prstGeom>
        </xdr:spPr>
      </xdr:pic>
      <xdr:sp macro="" textlink="">
        <xdr:nvSpPr>
          <xdr:cNvPr id="8" name="TextBox 7">
            <a:extLst>
              <a:ext uri="{FF2B5EF4-FFF2-40B4-BE49-F238E27FC236}">
                <a16:creationId xmlns:a16="http://schemas.microsoft.com/office/drawing/2014/main" id="{58F20B3C-DCE8-9C1D-B35F-29D3EEEE2AF4}"/>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2</xdr:col>
      <xdr:colOff>1428750</xdr:colOff>
      <xdr:row>1</xdr:row>
      <xdr:rowOff>68894</xdr:rowOff>
    </xdr:from>
    <xdr:to>
      <xdr:col>3</xdr:col>
      <xdr:colOff>2019300</xdr:colOff>
      <xdr:row>4</xdr:row>
      <xdr:rowOff>142875</xdr:rowOff>
    </xdr:to>
    <xdr:grpSp>
      <xdr:nvGrpSpPr>
        <xdr:cNvPr id="9" name="Group 8">
          <a:hlinkClick xmlns:r="http://schemas.openxmlformats.org/officeDocument/2006/relationships" r:id="rId8" tooltip="Visit our website"/>
          <a:extLst>
            <a:ext uri="{FF2B5EF4-FFF2-40B4-BE49-F238E27FC236}">
              <a16:creationId xmlns:a16="http://schemas.microsoft.com/office/drawing/2014/main" id="{582B2009-F814-441F-B49D-3B7BB03C80A2}"/>
            </a:ext>
          </a:extLst>
        </xdr:cNvPr>
        <xdr:cNvGrpSpPr/>
      </xdr:nvGrpSpPr>
      <xdr:grpSpPr>
        <a:xfrm>
          <a:off x="1797050" y="253044"/>
          <a:ext cx="3263900" cy="683581"/>
          <a:chOff x="3048001" y="334328"/>
          <a:chExt cx="2724150" cy="616906"/>
        </a:xfrm>
      </xdr:grpSpPr>
      <xdr:pic>
        <xdr:nvPicPr>
          <xdr:cNvPr id="10" name="Picture 9">
            <a:extLst>
              <a:ext uri="{FF2B5EF4-FFF2-40B4-BE49-F238E27FC236}">
                <a16:creationId xmlns:a16="http://schemas.microsoft.com/office/drawing/2014/main" id="{D67B8537-6F73-A83D-66D2-05DBDE328D85}"/>
              </a:ext>
            </a:extLst>
          </xdr:cNvPr>
          <xdr:cNvPicPr>
            <a:picLocks noChangeAspect="1"/>
          </xdr:cNvPicPr>
        </xdr:nvPicPr>
        <xdr:blipFill rotWithShape="1">
          <a:blip xmlns:r="http://schemas.openxmlformats.org/officeDocument/2006/relationships" r:embed="rId4"/>
          <a:srcRect l="21422" r="22564" b="61165"/>
          <a:stretch/>
        </xdr:blipFill>
        <xdr:spPr>
          <a:xfrm>
            <a:off x="3048001" y="334328"/>
            <a:ext cx="2724150" cy="616906"/>
          </a:xfrm>
          <a:prstGeom prst="roundRect">
            <a:avLst>
              <a:gd name="adj" fmla="val 18431"/>
            </a:avLst>
          </a:prstGeom>
        </xdr:spPr>
      </xdr:pic>
      <xdr:sp macro="" textlink="">
        <xdr:nvSpPr>
          <xdr:cNvPr id="11" name="TextBox 10">
            <a:extLst>
              <a:ext uri="{FF2B5EF4-FFF2-40B4-BE49-F238E27FC236}">
                <a16:creationId xmlns:a16="http://schemas.microsoft.com/office/drawing/2014/main" id="{A1074C6F-14E8-DC2F-739F-C6172FC3DF2A}"/>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12" name="Picture 11">
            <a:extLst>
              <a:ext uri="{FF2B5EF4-FFF2-40B4-BE49-F238E27FC236}">
                <a16:creationId xmlns:a16="http://schemas.microsoft.com/office/drawing/2014/main" id="{40191A88-2B8C-6F71-9061-EC694E0B5D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13" name="TextBox 12">
            <a:extLst>
              <a:ext uri="{FF2B5EF4-FFF2-40B4-BE49-F238E27FC236}">
                <a16:creationId xmlns:a16="http://schemas.microsoft.com/office/drawing/2014/main" id="{27000622-D927-9702-D04A-CBB50162A20B}"/>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3</xdr:col>
      <xdr:colOff>6505575</xdr:colOff>
      <xdr:row>2</xdr:row>
      <xdr:rowOff>38102</xdr:rowOff>
    </xdr:from>
    <xdr:to>
      <xdr:col>3</xdr:col>
      <xdr:colOff>7458069</xdr:colOff>
      <xdr:row>3</xdr:row>
      <xdr:rowOff>124052</xdr:rowOff>
    </xdr:to>
    <xdr:grpSp>
      <xdr:nvGrpSpPr>
        <xdr:cNvPr id="14" name="Group 13">
          <a:hlinkClick xmlns:r="http://schemas.openxmlformats.org/officeDocument/2006/relationships" r:id="rId9" tooltip="Go to Cover page"/>
          <a:extLst>
            <a:ext uri="{FF2B5EF4-FFF2-40B4-BE49-F238E27FC236}">
              <a16:creationId xmlns:a16="http://schemas.microsoft.com/office/drawing/2014/main" id="{5E6267F8-4611-4EAF-9627-FC31503B07D3}"/>
            </a:ext>
          </a:extLst>
        </xdr:cNvPr>
        <xdr:cNvGrpSpPr/>
      </xdr:nvGrpSpPr>
      <xdr:grpSpPr>
        <a:xfrm>
          <a:off x="9547225" y="425452"/>
          <a:ext cx="952494" cy="289150"/>
          <a:chOff x="3615235" y="2135609"/>
          <a:chExt cx="1011478" cy="463990"/>
        </a:xfrm>
      </xdr:grpSpPr>
      <xdr:sp macro="" textlink="">
        <xdr:nvSpPr>
          <xdr:cNvPr id="15" name="Rectangle 14">
            <a:extLst>
              <a:ext uri="{FF2B5EF4-FFF2-40B4-BE49-F238E27FC236}">
                <a16:creationId xmlns:a16="http://schemas.microsoft.com/office/drawing/2014/main" id="{3309AE90-09FB-392A-19A8-FB3EF5736AD2}"/>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6" name="Graphic 3" descr="Back with solid fill">
            <a:extLst>
              <a:ext uri="{FF2B5EF4-FFF2-40B4-BE49-F238E27FC236}">
                <a16:creationId xmlns:a16="http://schemas.microsoft.com/office/drawing/2014/main" id="{687B0560-7F80-2871-25A2-61FAF4F11DA7}"/>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7" name="TextBox 16">
            <a:extLst>
              <a:ext uri="{FF2B5EF4-FFF2-40B4-BE49-F238E27FC236}">
                <a16:creationId xmlns:a16="http://schemas.microsoft.com/office/drawing/2014/main" id="{427E21A7-7B6E-A8E6-1300-81E17C3CB4E9}"/>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4</xdr:col>
      <xdr:colOff>396083</xdr:colOff>
      <xdr:row>1</xdr:row>
      <xdr:rowOff>180977</xdr:rowOff>
    </xdr:from>
    <xdr:to>
      <xdr:col>5</xdr:col>
      <xdr:colOff>355819</xdr:colOff>
      <xdr:row>3</xdr:row>
      <xdr:rowOff>158906</xdr:rowOff>
    </xdr:to>
    <xdr:grpSp>
      <xdr:nvGrpSpPr>
        <xdr:cNvPr id="18" name="Group 17">
          <a:hlinkClick xmlns:r="http://schemas.openxmlformats.org/officeDocument/2006/relationships" r:id="rId10" tooltip="Go to Previous page"/>
          <a:extLst>
            <a:ext uri="{FF2B5EF4-FFF2-40B4-BE49-F238E27FC236}">
              <a16:creationId xmlns:a16="http://schemas.microsoft.com/office/drawing/2014/main" id="{87149BB5-4B4D-4AD4-9FA2-9DAC74D79E2A}"/>
            </a:ext>
          </a:extLst>
        </xdr:cNvPr>
        <xdr:cNvGrpSpPr/>
      </xdr:nvGrpSpPr>
      <xdr:grpSpPr>
        <a:xfrm>
          <a:off x="11578433" y="365127"/>
          <a:ext cx="620136" cy="384329"/>
          <a:chOff x="3207261" y="2135607"/>
          <a:chExt cx="689910" cy="602421"/>
        </a:xfrm>
      </xdr:grpSpPr>
      <xdr:sp macro="" textlink="">
        <xdr:nvSpPr>
          <xdr:cNvPr id="19" name="Rectangle 18">
            <a:extLst>
              <a:ext uri="{FF2B5EF4-FFF2-40B4-BE49-F238E27FC236}">
                <a16:creationId xmlns:a16="http://schemas.microsoft.com/office/drawing/2014/main" id="{A39E2A63-6FBE-808E-8FC0-273C357C88FF}"/>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0" name="Graphic 3" descr="Back with solid fill">
            <a:extLst>
              <a:ext uri="{FF2B5EF4-FFF2-40B4-BE49-F238E27FC236}">
                <a16:creationId xmlns:a16="http://schemas.microsoft.com/office/drawing/2014/main" id="{98CBA22D-BCD4-50E5-9799-3152880D0878}"/>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1" name="TextBox 20">
            <a:extLst>
              <a:ext uri="{FF2B5EF4-FFF2-40B4-BE49-F238E27FC236}">
                <a16:creationId xmlns:a16="http://schemas.microsoft.com/office/drawing/2014/main" id="{8082939F-DDC0-EC1D-A510-B2B1C0BF482C}"/>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5</xdr:col>
      <xdr:colOff>583949</xdr:colOff>
      <xdr:row>1</xdr:row>
      <xdr:rowOff>180975</xdr:rowOff>
    </xdr:from>
    <xdr:to>
      <xdr:col>6</xdr:col>
      <xdr:colOff>514344</xdr:colOff>
      <xdr:row>3</xdr:row>
      <xdr:rowOff>158904</xdr:rowOff>
    </xdr:to>
    <xdr:grpSp>
      <xdr:nvGrpSpPr>
        <xdr:cNvPr id="22" name="Group 21">
          <a:hlinkClick xmlns:r="http://schemas.openxmlformats.org/officeDocument/2006/relationships" r:id="rId11" tooltip="Go to Next page"/>
          <a:extLst>
            <a:ext uri="{FF2B5EF4-FFF2-40B4-BE49-F238E27FC236}">
              <a16:creationId xmlns:a16="http://schemas.microsoft.com/office/drawing/2014/main" id="{459D3125-4C69-488E-9230-052AC04A578A}"/>
            </a:ext>
          </a:extLst>
        </xdr:cNvPr>
        <xdr:cNvGrpSpPr/>
      </xdr:nvGrpSpPr>
      <xdr:grpSpPr>
        <a:xfrm rot="10800000">
          <a:off x="12426699" y="365125"/>
          <a:ext cx="590795" cy="384329"/>
          <a:chOff x="3185180" y="2135611"/>
          <a:chExt cx="648224" cy="602421"/>
        </a:xfrm>
      </xdr:grpSpPr>
      <xdr:sp macro="" textlink="">
        <xdr:nvSpPr>
          <xdr:cNvPr id="23" name="Rectangle 22">
            <a:extLst>
              <a:ext uri="{FF2B5EF4-FFF2-40B4-BE49-F238E27FC236}">
                <a16:creationId xmlns:a16="http://schemas.microsoft.com/office/drawing/2014/main" id="{EF929AE0-AB8A-E1D2-3C7B-BA615C5E9F6F}"/>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4" name="Graphic 3" descr="Back with solid fill">
            <a:extLst>
              <a:ext uri="{FF2B5EF4-FFF2-40B4-BE49-F238E27FC236}">
                <a16:creationId xmlns:a16="http://schemas.microsoft.com/office/drawing/2014/main" id="{3C51D654-26F2-1728-5E3A-BB7F4CC62C90}"/>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5" name="TextBox 24">
            <a:extLst>
              <a:ext uri="{FF2B5EF4-FFF2-40B4-BE49-F238E27FC236}">
                <a16:creationId xmlns:a16="http://schemas.microsoft.com/office/drawing/2014/main" id="{C64F9829-84B4-9CD8-E6DB-F55B17B99B32}"/>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3</xdr:col>
      <xdr:colOff>7686198</xdr:colOff>
      <xdr:row>2</xdr:row>
      <xdr:rowOff>35081</xdr:rowOff>
    </xdr:from>
    <xdr:to>
      <xdr:col>4</xdr:col>
      <xdr:colOff>167954</xdr:colOff>
      <xdr:row>3</xdr:row>
      <xdr:rowOff>96853</xdr:rowOff>
    </xdr:to>
    <xdr:grpSp>
      <xdr:nvGrpSpPr>
        <xdr:cNvPr id="26" name="Group 25">
          <a:hlinkClick xmlns:r="http://schemas.openxmlformats.org/officeDocument/2006/relationships" r:id="rId12" tooltip="Go to Gallery"/>
          <a:extLst>
            <a:ext uri="{FF2B5EF4-FFF2-40B4-BE49-F238E27FC236}">
              <a16:creationId xmlns:a16="http://schemas.microsoft.com/office/drawing/2014/main" id="{62CDA039-7ECA-4C3F-9B54-D2E31195EC6A}"/>
            </a:ext>
          </a:extLst>
        </xdr:cNvPr>
        <xdr:cNvGrpSpPr/>
      </xdr:nvGrpSpPr>
      <xdr:grpSpPr>
        <a:xfrm>
          <a:off x="10727848" y="422431"/>
          <a:ext cx="622456" cy="264972"/>
          <a:chOff x="5270413" y="829190"/>
          <a:chExt cx="251434" cy="252272"/>
        </a:xfrm>
      </xdr:grpSpPr>
      <xdr:sp macro="" textlink="">
        <xdr:nvSpPr>
          <xdr:cNvPr id="27" name="Rectangle 26">
            <a:extLst>
              <a:ext uri="{FF2B5EF4-FFF2-40B4-BE49-F238E27FC236}">
                <a16:creationId xmlns:a16="http://schemas.microsoft.com/office/drawing/2014/main" id="{52E7C701-8BED-52B1-21AF-1A19DD85EDB4}"/>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A5CF3FD8-AADD-8FBE-30DC-F80FF8F0A87A}"/>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E3E5939E-974E-3BA8-067B-80CD9600F782}"/>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D3FCD348-2769-EA3A-C196-AE23BBEB504C}"/>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1AB36804-5DD4-DA90-E690-154D5AB809F6}"/>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56886ACE-4EA0-D5BC-346A-4D580173D8EA}"/>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A91A4054-7F1D-D273-01C3-30169AB3B3F6}"/>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BFB0B41F-A671-9A30-C601-F8FBD7E9A290}"/>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 name="Rectangle 34">
            <a:extLst>
              <a:ext uri="{FF2B5EF4-FFF2-40B4-BE49-F238E27FC236}">
                <a16:creationId xmlns:a16="http://schemas.microsoft.com/office/drawing/2014/main" id="{88EA2F42-F5AE-5DAA-7D14-997D389B898D}"/>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66675</xdr:rowOff>
    </xdr:from>
    <xdr:to>
      <xdr:col>2</xdr:col>
      <xdr:colOff>1771650</xdr:colOff>
      <xdr:row>4</xdr:row>
      <xdr:rowOff>38100</xdr:rowOff>
    </xdr:to>
    <xdr:sp macro="" textlink="">
      <xdr:nvSpPr>
        <xdr:cNvPr id="36" name="Rectangle 35">
          <a:hlinkClick xmlns:r="http://schemas.openxmlformats.org/officeDocument/2006/relationships" r:id="rId8" tooltip="Visit our website"/>
          <a:extLst>
            <a:ext uri="{FF2B5EF4-FFF2-40B4-BE49-F238E27FC236}">
              <a16:creationId xmlns:a16="http://schemas.microsoft.com/office/drawing/2014/main" id="{09BF12E9-512E-4225-AE34-80A528B711DD}"/>
            </a:ext>
          </a:extLst>
        </xdr:cNvPr>
        <xdr:cNvSpPr/>
      </xdr:nvSpPr>
      <xdr:spPr>
        <a:xfrm>
          <a:off x="200025" y="2571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11</xdr:col>
      <xdr:colOff>205766</xdr:colOff>
      <xdr:row>28</xdr:row>
      <xdr:rowOff>34637</xdr:rowOff>
    </xdr:from>
    <xdr:to>
      <xdr:col>14</xdr:col>
      <xdr:colOff>3462</xdr:colOff>
      <xdr:row>33</xdr:row>
      <xdr:rowOff>136381</xdr:rowOff>
    </xdr:to>
    <xdr:pic>
      <xdr:nvPicPr>
        <xdr:cNvPr id="2" name="Picture 1">
          <a:extLst>
            <a:ext uri="{FF2B5EF4-FFF2-40B4-BE49-F238E27FC236}">
              <a16:creationId xmlns:a16="http://schemas.microsoft.com/office/drawing/2014/main" id="{702D235D-8BBD-48FB-8344-E9C15EEC688A}"/>
            </a:ext>
          </a:extLst>
        </xdr:cNvPr>
        <xdr:cNvPicPr>
          <a:picLocks noChangeAspect="1"/>
        </xdr:cNvPicPr>
      </xdr:nvPicPr>
      <xdr:blipFill>
        <a:blip xmlns:r="http://schemas.openxmlformats.org/officeDocument/2006/relationships" r:embed="rId1"/>
        <a:stretch>
          <a:fillRect/>
        </a:stretch>
      </xdr:blipFill>
      <xdr:spPr>
        <a:xfrm>
          <a:off x="4034816" y="4301837"/>
          <a:ext cx="1397896" cy="863744"/>
        </a:xfrm>
        <a:prstGeom prst="rect">
          <a:avLst/>
        </a:prstGeom>
      </xdr:spPr>
    </xdr:pic>
    <xdr:clientData/>
  </xdr:twoCellAnchor>
  <xdr:twoCellAnchor>
    <xdr:from>
      <xdr:col>6</xdr:col>
      <xdr:colOff>458932</xdr:colOff>
      <xdr:row>30</xdr:row>
      <xdr:rowOff>103910</xdr:rowOff>
    </xdr:from>
    <xdr:to>
      <xdr:col>11</xdr:col>
      <xdr:colOff>346364</xdr:colOff>
      <xdr:row>31</xdr:row>
      <xdr:rowOff>17319</xdr:rowOff>
    </xdr:to>
    <xdr:cxnSp macro="">
      <xdr:nvCxnSpPr>
        <xdr:cNvPr id="3" name="Straight Arrow Connector 2">
          <a:extLst>
            <a:ext uri="{FF2B5EF4-FFF2-40B4-BE49-F238E27FC236}">
              <a16:creationId xmlns:a16="http://schemas.microsoft.com/office/drawing/2014/main" id="{C12599DD-4359-434D-9337-514695776AA8}"/>
            </a:ext>
          </a:extLst>
        </xdr:cNvPr>
        <xdr:cNvCxnSpPr/>
      </xdr:nvCxnSpPr>
      <xdr:spPr>
        <a:xfrm>
          <a:off x="1935307" y="4675910"/>
          <a:ext cx="2240107" cy="65809"/>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1007873</xdr:colOff>
      <xdr:row>27</xdr:row>
      <xdr:rowOff>86591</xdr:rowOff>
    </xdr:from>
    <xdr:to>
      <xdr:col>16</xdr:col>
      <xdr:colOff>1985947</xdr:colOff>
      <xdr:row>46</xdr:row>
      <xdr:rowOff>103909</xdr:rowOff>
    </xdr:to>
    <xdr:pic>
      <xdr:nvPicPr>
        <xdr:cNvPr id="4" name="Picture 3">
          <a:extLst>
            <a:ext uri="{FF2B5EF4-FFF2-40B4-BE49-F238E27FC236}">
              <a16:creationId xmlns:a16="http://schemas.microsoft.com/office/drawing/2014/main" id="{E967318F-DAED-461F-8344-E2C784AFB09D}"/>
            </a:ext>
          </a:extLst>
        </xdr:cNvPr>
        <xdr:cNvPicPr>
          <a:picLocks noChangeAspect="1"/>
        </xdr:cNvPicPr>
      </xdr:nvPicPr>
      <xdr:blipFill rotWithShape="1">
        <a:blip xmlns:r="http://schemas.openxmlformats.org/officeDocument/2006/relationships" r:embed="rId2"/>
        <a:srcRect l="1172" t="1295" b="1309"/>
        <a:stretch/>
      </xdr:blipFill>
      <xdr:spPr>
        <a:xfrm>
          <a:off x="6437123" y="4201391"/>
          <a:ext cx="3340274" cy="2912918"/>
        </a:xfrm>
        <a:prstGeom prst="rect">
          <a:avLst/>
        </a:prstGeom>
      </xdr:spPr>
    </xdr:pic>
    <xdr:clientData/>
  </xdr:twoCellAnchor>
  <xdr:twoCellAnchor>
    <xdr:from>
      <xdr:col>7</xdr:col>
      <xdr:colOff>242455</xdr:colOff>
      <xdr:row>34</xdr:row>
      <xdr:rowOff>121228</xdr:rowOff>
    </xdr:from>
    <xdr:to>
      <xdr:col>14</xdr:col>
      <xdr:colOff>1004454</xdr:colOff>
      <xdr:row>35</xdr:row>
      <xdr:rowOff>8659</xdr:rowOff>
    </xdr:to>
    <xdr:cxnSp macro="">
      <xdr:nvCxnSpPr>
        <xdr:cNvPr id="5" name="Straight Arrow Connector 4">
          <a:extLst>
            <a:ext uri="{FF2B5EF4-FFF2-40B4-BE49-F238E27FC236}">
              <a16:creationId xmlns:a16="http://schemas.microsoft.com/office/drawing/2014/main" id="{F3EE6A0F-DAA3-47CC-B683-99DEAC6D88DD}"/>
            </a:ext>
          </a:extLst>
        </xdr:cNvPr>
        <xdr:cNvCxnSpPr/>
      </xdr:nvCxnSpPr>
      <xdr:spPr>
        <a:xfrm>
          <a:off x="2452255" y="5302828"/>
          <a:ext cx="3981449" cy="39831"/>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363682</xdr:colOff>
      <xdr:row>27</xdr:row>
      <xdr:rowOff>80391</xdr:rowOff>
    </xdr:from>
    <xdr:to>
      <xdr:col>13</xdr:col>
      <xdr:colOff>259772</xdr:colOff>
      <xdr:row>30</xdr:row>
      <xdr:rowOff>39113</xdr:rowOff>
    </xdr:to>
    <xdr:sp macro="" textlink="">
      <xdr:nvSpPr>
        <xdr:cNvPr id="6" name="Freeform: Shape 5">
          <a:extLst>
            <a:ext uri="{FF2B5EF4-FFF2-40B4-BE49-F238E27FC236}">
              <a16:creationId xmlns:a16="http://schemas.microsoft.com/office/drawing/2014/main" id="{DAE1624F-26D4-4CD4-826E-38DDE55613BB}"/>
            </a:ext>
          </a:extLst>
        </xdr:cNvPr>
        <xdr:cNvSpPr/>
      </xdr:nvSpPr>
      <xdr:spPr>
        <a:xfrm>
          <a:off x="2573482" y="4195191"/>
          <a:ext cx="2582140" cy="415922"/>
        </a:xfrm>
        <a:custGeom>
          <a:avLst/>
          <a:gdLst>
            <a:gd name="connsiteX0" fmla="*/ 0 w 2580409"/>
            <a:gd name="connsiteY0" fmla="*/ 361222 h 426313"/>
            <a:gd name="connsiteX1" fmla="*/ 632114 w 2580409"/>
            <a:gd name="connsiteY1" fmla="*/ 404518 h 426313"/>
            <a:gd name="connsiteX2" fmla="*/ 1549978 w 2580409"/>
            <a:gd name="connsiteY2" fmla="*/ 58154 h 426313"/>
            <a:gd name="connsiteX3" fmla="*/ 2355273 w 2580409"/>
            <a:gd name="connsiteY3" fmla="*/ 14859 h 426313"/>
            <a:gd name="connsiteX4" fmla="*/ 2580409 w 2580409"/>
            <a:gd name="connsiteY4" fmla="*/ 214018 h 426313"/>
            <a:gd name="connsiteX5" fmla="*/ 2580409 w 2580409"/>
            <a:gd name="connsiteY5" fmla="*/ 214018 h 4263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580409" h="426313">
              <a:moveTo>
                <a:pt x="0" y="361222"/>
              </a:moveTo>
              <a:cubicBezTo>
                <a:pt x="186892" y="408125"/>
                <a:pt x="373784" y="455029"/>
                <a:pt x="632114" y="404518"/>
              </a:cubicBezTo>
              <a:cubicBezTo>
                <a:pt x="890444" y="354007"/>
                <a:pt x="1262785" y="123097"/>
                <a:pt x="1549978" y="58154"/>
              </a:cubicBezTo>
              <a:cubicBezTo>
                <a:pt x="1837171" y="-6789"/>
                <a:pt x="2183535" y="-11118"/>
                <a:pt x="2355273" y="14859"/>
              </a:cubicBezTo>
              <a:cubicBezTo>
                <a:pt x="2527012" y="40836"/>
                <a:pt x="2580409" y="214018"/>
                <a:pt x="2580409" y="214018"/>
              </a:cubicBezTo>
              <a:lnTo>
                <a:pt x="2580409" y="214018"/>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8</xdr:col>
      <xdr:colOff>214747</xdr:colOff>
      <xdr:row>53</xdr:row>
      <xdr:rowOff>68408</xdr:rowOff>
    </xdr:from>
    <xdr:to>
      <xdr:col>16</xdr:col>
      <xdr:colOff>1638300</xdr:colOff>
      <xdr:row>74</xdr:row>
      <xdr:rowOff>31652</xdr:rowOff>
    </xdr:to>
    <xdr:pic>
      <xdr:nvPicPr>
        <xdr:cNvPr id="7" name="Picture 6">
          <a:extLst>
            <a:ext uri="{FF2B5EF4-FFF2-40B4-BE49-F238E27FC236}">
              <a16:creationId xmlns:a16="http://schemas.microsoft.com/office/drawing/2014/main" id="{3B5F52C1-85C8-43E0-BAA6-D69B9E43156F}"/>
            </a:ext>
          </a:extLst>
        </xdr:cNvPr>
        <xdr:cNvPicPr>
          <a:picLocks noChangeAspect="1"/>
        </xdr:cNvPicPr>
      </xdr:nvPicPr>
      <xdr:blipFill>
        <a:blip xmlns:r="http://schemas.openxmlformats.org/officeDocument/2006/relationships" r:embed="rId3"/>
        <a:stretch>
          <a:fillRect/>
        </a:stretch>
      </xdr:blipFill>
      <xdr:spPr>
        <a:xfrm>
          <a:off x="2957947" y="8145608"/>
          <a:ext cx="6471803" cy="3163644"/>
        </a:xfrm>
        <a:prstGeom prst="rect">
          <a:avLst/>
        </a:prstGeom>
      </xdr:spPr>
    </xdr:pic>
    <xdr:clientData/>
  </xdr:twoCellAnchor>
  <xdr:twoCellAnchor>
    <xdr:from>
      <xdr:col>14</xdr:col>
      <xdr:colOff>1284143</xdr:colOff>
      <xdr:row>49</xdr:row>
      <xdr:rowOff>78727</xdr:rowOff>
    </xdr:from>
    <xdr:to>
      <xdr:col>14</xdr:col>
      <xdr:colOff>2227984</xdr:colOff>
      <xdr:row>53</xdr:row>
      <xdr:rowOff>95249</xdr:rowOff>
    </xdr:to>
    <xdr:sp macro="" textlink="">
      <xdr:nvSpPr>
        <xdr:cNvPr id="8" name="Freeform: Shape 7">
          <a:extLst>
            <a:ext uri="{FF2B5EF4-FFF2-40B4-BE49-F238E27FC236}">
              <a16:creationId xmlns:a16="http://schemas.microsoft.com/office/drawing/2014/main" id="{7069F437-E655-4892-9B53-23B02B194A5D}"/>
            </a:ext>
          </a:extLst>
        </xdr:cNvPr>
        <xdr:cNvSpPr/>
      </xdr:nvSpPr>
      <xdr:spPr>
        <a:xfrm>
          <a:off x="6713393" y="7546327"/>
          <a:ext cx="877166" cy="626122"/>
        </a:xfrm>
        <a:custGeom>
          <a:avLst/>
          <a:gdLst>
            <a:gd name="connsiteX0" fmla="*/ 0 w 1205779"/>
            <a:gd name="connsiteY0" fmla="*/ 167849 h 670077"/>
            <a:gd name="connsiteX1" fmla="*/ 1168978 w 1205779"/>
            <a:gd name="connsiteY1" fmla="*/ 29304 h 670077"/>
            <a:gd name="connsiteX2" fmla="*/ 935182 w 1205779"/>
            <a:gd name="connsiteY2" fmla="*/ 670077 h 670077"/>
            <a:gd name="connsiteX3" fmla="*/ 935182 w 1205779"/>
            <a:gd name="connsiteY3" fmla="*/ 670077 h 670077"/>
            <a:gd name="connsiteX0" fmla="*/ 0 w 1397281"/>
            <a:gd name="connsiteY0" fmla="*/ 91225 h 593453"/>
            <a:gd name="connsiteX1" fmla="*/ 1368137 w 1397281"/>
            <a:gd name="connsiteY1" fmla="*/ 56589 h 593453"/>
            <a:gd name="connsiteX2" fmla="*/ 935182 w 1397281"/>
            <a:gd name="connsiteY2" fmla="*/ 593453 h 593453"/>
            <a:gd name="connsiteX3" fmla="*/ 935182 w 1397281"/>
            <a:gd name="connsiteY3" fmla="*/ 593453 h 593453"/>
            <a:gd name="connsiteX0" fmla="*/ 0 w 1289866"/>
            <a:gd name="connsiteY0" fmla="*/ 50077 h 552305"/>
            <a:gd name="connsiteX1" fmla="*/ 1255569 w 1289866"/>
            <a:gd name="connsiteY1" fmla="*/ 119350 h 552305"/>
            <a:gd name="connsiteX2" fmla="*/ 935182 w 1289866"/>
            <a:gd name="connsiteY2" fmla="*/ 552305 h 552305"/>
            <a:gd name="connsiteX3" fmla="*/ 935182 w 1289866"/>
            <a:gd name="connsiteY3" fmla="*/ 552305 h 552305"/>
            <a:gd name="connsiteX0" fmla="*/ 0 w 1025630"/>
            <a:gd name="connsiteY0" fmla="*/ 58427 h 526019"/>
            <a:gd name="connsiteX1" fmla="*/ 1004455 w 1025630"/>
            <a:gd name="connsiteY1" fmla="*/ 93064 h 526019"/>
            <a:gd name="connsiteX2" fmla="*/ 684068 w 1025630"/>
            <a:gd name="connsiteY2" fmla="*/ 526019 h 526019"/>
            <a:gd name="connsiteX3" fmla="*/ 684068 w 1025630"/>
            <a:gd name="connsiteY3" fmla="*/ 526019 h 526019"/>
            <a:gd name="connsiteX0" fmla="*/ 0 w 1000698"/>
            <a:gd name="connsiteY0" fmla="*/ 40290 h 507882"/>
            <a:gd name="connsiteX1" fmla="*/ 978477 w 1000698"/>
            <a:gd name="connsiteY1" fmla="*/ 152859 h 507882"/>
            <a:gd name="connsiteX2" fmla="*/ 684068 w 1000698"/>
            <a:gd name="connsiteY2" fmla="*/ 507882 h 507882"/>
            <a:gd name="connsiteX3" fmla="*/ 684068 w 1000698"/>
            <a:gd name="connsiteY3" fmla="*/ 507882 h 507882"/>
            <a:gd name="connsiteX0" fmla="*/ 0 w 1067385"/>
            <a:gd name="connsiteY0" fmla="*/ 43366 h 510958"/>
            <a:gd name="connsiteX1" fmla="*/ 1047750 w 1067385"/>
            <a:gd name="connsiteY1" fmla="*/ 138616 h 510958"/>
            <a:gd name="connsiteX2" fmla="*/ 684068 w 1067385"/>
            <a:gd name="connsiteY2" fmla="*/ 510958 h 510958"/>
            <a:gd name="connsiteX3" fmla="*/ 684068 w 1067385"/>
            <a:gd name="connsiteY3" fmla="*/ 510958 h 510958"/>
            <a:gd name="connsiteX0" fmla="*/ 0 w 1053181"/>
            <a:gd name="connsiteY0" fmla="*/ 59818 h 527410"/>
            <a:gd name="connsiteX1" fmla="*/ 1047750 w 1053181"/>
            <a:gd name="connsiteY1" fmla="*/ 155068 h 527410"/>
            <a:gd name="connsiteX2" fmla="*/ 684068 w 1053181"/>
            <a:gd name="connsiteY2" fmla="*/ 527410 h 527410"/>
            <a:gd name="connsiteX3" fmla="*/ 684068 w 1053181"/>
            <a:gd name="connsiteY3" fmla="*/ 527410 h 527410"/>
          </a:gdLst>
          <a:ahLst/>
          <a:cxnLst>
            <a:cxn ang="0">
              <a:pos x="connsiteX0" y="connsiteY0"/>
            </a:cxn>
            <a:cxn ang="0">
              <a:pos x="connsiteX1" y="connsiteY1"/>
            </a:cxn>
            <a:cxn ang="0">
              <a:pos x="connsiteX2" y="connsiteY2"/>
            </a:cxn>
            <a:cxn ang="0">
              <a:pos x="connsiteX3" y="connsiteY3"/>
            </a:cxn>
          </a:cxnLst>
          <a:rect l="l" t="t" r="r" b="b"/>
          <a:pathLst>
            <a:path w="1053181" h="527410">
              <a:moveTo>
                <a:pt x="0" y="59818"/>
              </a:moveTo>
              <a:cubicBezTo>
                <a:pt x="506557" y="-51307"/>
                <a:pt x="994353" y="-796"/>
                <a:pt x="1047750" y="155068"/>
              </a:cubicBezTo>
              <a:cubicBezTo>
                <a:pt x="1101147" y="310932"/>
                <a:pt x="744682" y="465353"/>
                <a:pt x="684068" y="527410"/>
              </a:cubicBezTo>
              <a:lnTo>
                <a:pt x="684068" y="527410"/>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6</xdr:col>
      <xdr:colOff>15309</xdr:colOff>
      <xdr:row>55</xdr:row>
      <xdr:rowOff>42416</xdr:rowOff>
    </xdr:from>
    <xdr:to>
      <xdr:col>9</xdr:col>
      <xdr:colOff>79940</xdr:colOff>
      <xdr:row>57</xdr:row>
      <xdr:rowOff>148083</xdr:rowOff>
    </xdr:to>
    <xdr:sp macro="" textlink="">
      <xdr:nvSpPr>
        <xdr:cNvPr id="9" name="Freeform: Shape 8">
          <a:extLst>
            <a:ext uri="{FF2B5EF4-FFF2-40B4-BE49-F238E27FC236}">
              <a16:creationId xmlns:a16="http://schemas.microsoft.com/office/drawing/2014/main" id="{46F6CD77-70D4-433C-B706-F0594D016DAC}"/>
            </a:ext>
          </a:extLst>
        </xdr:cNvPr>
        <xdr:cNvSpPr/>
      </xdr:nvSpPr>
      <xdr:spPr>
        <a:xfrm rot="18361467" flipH="1">
          <a:off x="2218878" y="7697222"/>
          <a:ext cx="410467" cy="1864856"/>
        </a:xfrm>
        <a:custGeom>
          <a:avLst/>
          <a:gdLst>
            <a:gd name="connsiteX0" fmla="*/ 0 w 1205779"/>
            <a:gd name="connsiteY0" fmla="*/ 167849 h 670077"/>
            <a:gd name="connsiteX1" fmla="*/ 1168978 w 1205779"/>
            <a:gd name="connsiteY1" fmla="*/ 29304 h 670077"/>
            <a:gd name="connsiteX2" fmla="*/ 935182 w 1205779"/>
            <a:gd name="connsiteY2" fmla="*/ 670077 h 670077"/>
            <a:gd name="connsiteX3" fmla="*/ 935182 w 1205779"/>
            <a:gd name="connsiteY3" fmla="*/ 670077 h 670077"/>
            <a:gd name="connsiteX0" fmla="*/ 0 w 1397281"/>
            <a:gd name="connsiteY0" fmla="*/ 91225 h 593453"/>
            <a:gd name="connsiteX1" fmla="*/ 1368137 w 1397281"/>
            <a:gd name="connsiteY1" fmla="*/ 56589 h 593453"/>
            <a:gd name="connsiteX2" fmla="*/ 935182 w 1397281"/>
            <a:gd name="connsiteY2" fmla="*/ 593453 h 593453"/>
            <a:gd name="connsiteX3" fmla="*/ 935182 w 1397281"/>
            <a:gd name="connsiteY3" fmla="*/ 593453 h 593453"/>
            <a:gd name="connsiteX0" fmla="*/ 0 w 1289866"/>
            <a:gd name="connsiteY0" fmla="*/ 50077 h 552305"/>
            <a:gd name="connsiteX1" fmla="*/ 1255569 w 1289866"/>
            <a:gd name="connsiteY1" fmla="*/ 119350 h 552305"/>
            <a:gd name="connsiteX2" fmla="*/ 935182 w 1289866"/>
            <a:gd name="connsiteY2" fmla="*/ 552305 h 552305"/>
            <a:gd name="connsiteX3" fmla="*/ 935182 w 1289866"/>
            <a:gd name="connsiteY3" fmla="*/ 552305 h 552305"/>
            <a:gd name="connsiteX0" fmla="*/ 0 w 1025630"/>
            <a:gd name="connsiteY0" fmla="*/ 58427 h 526019"/>
            <a:gd name="connsiteX1" fmla="*/ 1004455 w 1025630"/>
            <a:gd name="connsiteY1" fmla="*/ 93064 h 526019"/>
            <a:gd name="connsiteX2" fmla="*/ 684068 w 1025630"/>
            <a:gd name="connsiteY2" fmla="*/ 526019 h 526019"/>
            <a:gd name="connsiteX3" fmla="*/ 684068 w 1025630"/>
            <a:gd name="connsiteY3" fmla="*/ 526019 h 526019"/>
            <a:gd name="connsiteX0" fmla="*/ 0 w 1000698"/>
            <a:gd name="connsiteY0" fmla="*/ 40290 h 507882"/>
            <a:gd name="connsiteX1" fmla="*/ 978477 w 1000698"/>
            <a:gd name="connsiteY1" fmla="*/ 152859 h 507882"/>
            <a:gd name="connsiteX2" fmla="*/ 684068 w 1000698"/>
            <a:gd name="connsiteY2" fmla="*/ 507882 h 507882"/>
            <a:gd name="connsiteX3" fmla="*/ 684068 w 1000698"/>
            <a:gd name="connsiteY3" fmla="*/ 507882 h 507882"/>
            <a:gd name="connsiteX0" fmla="*/ 0 w 1067385"/>
            <a:gd name="connsiteY0" fmla="*/ 43366 h 510958"/>
            <a:gd name="connsiteX1" fmla="*/ 1047750 w 1067385"/>
            <a:gd name="connsiteY1" fmla="*/ 138616 h 510958"/>
            <a:gd name="connsiteX2" fmla="*/ 684068 w 1067385"/>
            <a:gd name="connsiteY2" fmla="*/ 510958 h 510958"/>
            <a:gd name="connsiteX3" fmla="*/ 684068 w 1067385"/>
            <a:gd name="connsiteY3" fmla="*/ 510958 h 510958"/>
            <a:gd name="connsiteX0" fmla="*/ 0 w 1053181"/>
            <a:gd name="connsiteY0" fmla="*/ 59818 h 527410"/>
            <a:gd name="connsiteX1" fmla="*/ 1047750 w 1053181"/>
            <a:gd name="connsiteY1" fmla="*/ 155068 h 527410"/>
            <a:gd name="connsiteX2" fmla="*/ 684068 w 1053181"/>
            <a:gd name="connsiteY2" fmla="*/ 527410 h 527410"/>
            <a:gd name="connsiteX3" fmla="*/ 684068 w 1053181"/>
            <a:gd name="connsiteY3" fmla="*/ 527410 h 527410"/>
            <a:gd name="connsiteX0" fmla="*/ 0 w 1053302"/>
            <a:gd name="connsiteY0" fmla="*/ 59818 h 971258"/>
            <a:gd name="connsiteX1" fmla="*/ 1047750 w 1053302"/>
            <a:gd name="connsiteY1" fmla="*/ 155068 h 971258"/>
            <a:gd name="connsiteX2" fmla="*/ 684068 w 1053302"/>
            <a:gd name="connsiteY2" fmla="*/ 527410 h 971258"/>
            <a:gd name="connsiteX3" fmla="*/ 630963 w 1053302"/>
            <a:gd name="connsiteY3" fmla="*/ 971258 h 971258"/>
            <a:gd name="connsiteX0" fmla="*/ 0 w 1509411"/>
            <a:gd name="connsiteY0" fmla="*/ 15403 h 1398219"/>
            <a:gd name="connsiteX1" fmla="*/ 1467569 w 1509411"/>
            <a:gd name="connsiteY1" fmla="*/ 582029 h 1398219"/>
            <a:gd name="connsiteX2" fmla="*/ 1103887 w 1509411"/>
            <a:gd name="connsiteY2" fmla="*/ 954371 h 1398219"/>
            <a:gd name="connsiteX3" fmla="*/ 1050782 w 1509411"/>
            <a:gd name="connsiteY3" fmla="*/ 1398219 h 1398219"/>
            <a:gd name="connsiteX0" fmla="*/ 0 w 1119769"/>
            <a:gd name="connsiteY0" fmla="*/ 20818 h 1403634"/>
            <a:gd name="connsiteX1" fmla="*/ 745122 w 1119769"/>
            <a:gd name="connsiteY1" fmla="*/ 428703 h 1403634"/>
            <a:gd name="connsiteX2" fmla="*/ 1103887 w 1119769"/>
            <a:gd name="connsiteY2" fmla="*/ 959786 h 1403634"/>
            <a:gd name="connsiteX3" fmla="*/ 1050782 w 1119769"/>
            <a:gd name="connsiteY3" fmla="*/ 1403634 h 1403634"/>
            <a:gd name="connsiteX0" fmla="*/ 0 w 1061461"/>
            <a:gd name="connsiteY0" fmla="*/ 20660 h 1403476"/>
            <a:gd name="connsiteX1" fmla="*/ 745122 w 1061461"/>
            <a:gd name="connsiteY1" fmla="*/ 428545 h 1403476"/>
            <a:gd name="connsiteX2" fmla="*/ 1017491 w 1061461"/>
            <a:gd name="connsiteY2" fmla="*/ 937634 h 1403476"/>
            <a:gd name="connsiteX3" fmla="*/ 1050782 w 1061461"/>
            <a:gd name="connsiteY3" fmla="*/ 1403476 h 1403476"/>
            <a:gd name="connsiteX0" fmla="*/ 0 w 1053132"/>
            <a:gd name="connsiteY0" fmla="*/ 20504 h 1403320"/>
            <a:gd name="connsiteX1" fmla="*/ 745122 w 1053132"/>
            <a:gd name="connsiteY1" fmla="*/ 428389 h 1403320"/>
            <a:gd name="connsiteX2" fmla="*/ 931095 w 1053132"/>
            <a:gd name="connsiteY2" fmla="*/ 915486 h 1403320"/>
            <a:gd name="connsiteX3" fmla="*/ 1050782 w 1053132"/>
            <a:gd name="connsiteY3" fmla="*/ 1403320 h 1403320"/>
            <a:gd name="connsiteX0" fmla="*/ 0 w 1053432"/>
            <a:gd name="connsiteY0" fmla="*/ 22175 h 1404991"/>
            <a:gd name="connsiteX1" fmla="*/ 673264 w 1053432"/>
            <a:gd name="connsiteY1" fmla="*/ 395279 h 1404991"/>
            <a:gd name="connsiteX2" fmla="*/ 931095 w 1053432"/>
            <a:gd name="connsiteY2" fmla="*/ 917157 h 1404991"/>
            <a:gd name="connsiteX3" fmla="*/ 1050782 w 1053432"/>
            <a:gd name="connsiteY3" fmla="*/ 1404991 h 1404991"/>
            <a:gd name="connsiteX0" fmla="*/ 0 w 1053432"/>
            <a:gd name="connsiteY0" fmla="*/ 25475 h 1408291"/>
            <a:gd name="connsiteX1" fmla="*/ 673264 w 1053432"/>
            <a:gd name="connsiteY1" fmla="*/ 398579 h 1408291"/>
            <a:gd name="connsiteX2" fmla="*/ 931095 w 1053432"/>
            <a:gd name="connsiteY2" fmla="*/ 920457 h 1408291"/>
            <a:gd name="connsiteX3" fmla="*/ 1050782 w 1053432"/>
            <a:gd name="connsiteY3" fmla="*/ 1408291 h 1408291"/>
            <a:gd name="connsiteX0" fmla="*/ 0 w 1054273"/>
            <a:gd name="connsiteY0" fmla="*/ 25475 h 1408291"/>
            <a:gd name="connsiteX1" fmla="*/ 673264 w 1054273"/>
            <a:gd name="connsiteY1" fmla="*/ 398579 h 1408291"/>
            <a:gd name="connsiteX2" fmla="*/ 931095 w 1054273"/>
            <a:gd name="connsiteY2" fmla="*/ 920457 h 1408291"/>
            <a:gd name="connsiteX3" fmla="*/ 1050782 w 1054273"/>
            <a:gd name="connsiteY3" fmla="*/ 1408291 h 1408291"/>
          </a:gdLst>
          <a:ahLst/>
          <a:cxnLst>
            <a:cxn ang="0">
              <a:pos x="connsiteX0" y="connsiteY0"/>
            </a:cxn>
            <a:cxn ang="0">
              <a:pos x="connsiteX1" y="connsiteY1"/>
            </a:cxn>
            <a:cxn ang="0">
              <a:pos x="connsiteX2" y="connsiteY2"/>
            </a:cxn>
            <a:cxn ang="0">
              <a:pos x="connsiteX3" y="connsiteY3"/>
            </a:cxn>
          </a:cxnLst>
          <a:rect l="l" t="t" r="r" b="b"/>
          <a:pathLst>
            <a:path w="1054273" h="1408291">
              <a:moveTo>
                <a:pt x="0" y="25475"/>
              </a:moveTo>
              <a:cubicBezTo>
                <a:pt x="506557" y="-85650"/>
                <a:pt x="538326" y="190346"/>
                <a:pt x="673264" y="398579"/>
              </a:cubicBezTo>
              <a:cubicBezTo>
                <a:pt x="808202" y="606812"/>
                <a:pt x="856473" y="757024"/>
                <a:pt x="931095" y="920457"/>
              </a:cubicBezTo>
              <a:cubicBezTo>
                <a:pt x="1017385" y="1109445"/>
                <a:pt x="1068484" y="1260342"/>
                <a:pt x="1050782" y="1408291"/>
              </a:cubicBez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9</xdr:col>
      <xdr:colOff>94334</xdr:colOff>
      <xdr:row>55</xdr:row>
      <xdr:rowOff>108051</xdr:rowOff>
    </xdr:from>
    <xdr:to>
      <xdr:col>14</xdr:col>
      <xdr:colOff>2572662</xdr:colOff>
      <xdr:row>64</xdr:row>
      <xdr:rowOff>82446</xdr:rowOff>
    </xdr:to>
    <xdr:sp macro="" textlink="">
      <xdr:nvSpPr>
        <xdr:cNvPr id="10" name="Freeform: Shape 9">
          <a:extLst>
            <a:ext uri="{FF2B5EF4-FFF2-40B4-BE49-F238E27FC236}">
              <a16:creationId xmlns:a16="http://schemas.microsoft.com/office/drawing/2014/main" id="{CAD0675F-808F-4C3D-BCBB-72129EDF8815}"/>
            </a:ext>
          </a:extLst>
        </xdr:cNvPr>
        <xdr:cNvSpPr/>
      </xdr:nvSpPr>
      <xdr:spPr>
        <a:xfrm rot="11686351">
          <a:off x="3370934" y="8490051"/>
          <a:ext cx="4221403" cy="1345995"/>
        </a:xfrm>
        <a:custGeom>
          <a:avLst/>
          <a:gdLst>
            <a:gd name="connsiteX0" fmla="*/ 0 w 1205779"/>
            <a:gd name="connsiteY0" fmla="*/ 167849 h 670077"/>
            <a:gd name="connsiteX1" fmla="*/ 1168978 w 1205779"/>
            <a:gd name="connsiteY1" fmla="*/ 29304 h 670077"/>
            <a:gd name="connsiteX2" fmla="*/ 935182 w 1205779"/>
            <a:gd name="connsiteY2" fmla="*/ 670077 h 670077"/>
            <a:gd name="connsiteX3" fmla="*/ 935182 w 1205779"/>
            <a:gd name="connsiteY3" fmla="*/ 670077 h 670077"/>
            <a:gd name="connsiteX0" fmla="*/ 0 w 1397281"/>
            <a:gd name="connsiteY0" fmla="*/ 91225 h 593453"/>
            <a:gd name="connsiteX1" fmla="*/ 1368137 w 1397281"/>
            <a:gd name="connsiteY1" fmla="*/ 56589 h 593453"/>
            <a:gd name="connsiteX2" fmla="*/ 935182 w 1397281"/>
            <a:gd name="connsiteY2" fmla="*/ 593453 h 593453"/>
            <a:gd name="connsiteX3" fmla="*/ 935182 w 1397281"/>
            <a:gd name="connsiteY3" fmla="*/ 593453 h 593453"/>
            <a:gd name="connsiteX0" fmla="*/ 0 w 1289866"/>
            <a:gd name="connsiteY0" fmla="*/ 50077 h 552305"/>
            <a:gd name="connsiteX1" fmla="*/ 1255569 w 1289866"/>
            <a:gd name="connsiteY1" fmla="*/ 119350 h 552305"/>
            <a:gd name="connsiteX2" fmla="*/ 935182 w 1289866"/>
            <a:gd name="connsiteY2" fmla="*/ 552305 h 552305"/>
            <a:gd name="connsiteX3" fmla="*/ 935182 w 1289866"/>
            <a:gd name="connsiteY3" fmla="*/ 552305 h 552305"/>
            <a:gd name="connsiteX0" fmla="*/ 0 w 1025630"/>
            <a:gd name="connsiteY0" fmla="*/ 58427 h 526019"/>
            <a:gd name="connsiteX1" fmla="*/ 1004455 w 1025630"/>
            <a:gd name="connsiteY1" fmla="*/ 93064 h 526019"/>
            <a:gd name="connsiteX2" fmla="*/ 684068 w 1025630"/>
            <a:gd name="connsiteY2" fmla="*/ 526019 h 526019"/>
            <a:gd name="connsiteX3" fmla="*/ 684068 w 1025630"/>
            <a:gd name="connsiteY3" fmla="*/ 526019 h 526019"/>
            <a:gd name="connsiteX0" fmla="*/ 0 w 1000698"/>
            <a:gd name="connsiteY0" fmla="*/ 40290 h 507882"/>
            <a:gd name="connsiteX1" fmla="*/ 978477 w 1000698"/>
            <a:gd name="connsiteY1" fmla="*/ 152859 h 507882"/>
            <a:gd name="connsiteX2" fmla="*/ 684068 w 1000698"/>
            <a:gd name="connsiteY2" fmla="*/ 507882 h 507882"/>
            <a:gd name="connsiteX3" fmla="*/ 684068 w 1000698"/>
            <a:gd name="connsiteY3" fmla="*/ 507882 h 507882"/>
            <a:gd name="connsiteX0" fmla="*/ 0 w 1067385"/>
            <a:gd name="connsiteY0" fmla="*/ 43366 h 510958"/>
            <a:gd name="connsiteX1" fmla="*/ 1047750 w 1067385"/>
            <a:gd name="connsiteY1" fmla="*/ 138616 h 510958"/>
            <a:gd name="connsiteX2" fmla="*/ 684068 w 1067385"/>
            <a:gd name="connsiteY2" fmla="*/ 510958 h 510958"/>
            <a:gd name="connsiteX3" fmla="*/ 684068 w 1067385"/>
            <a:gd name="connsiteY3" fmla="*/ 510958 h 510958"/>
            <a:gd name="connsiteX0" fmla="*/ 0 w 1053181"/>
            <a:gd name="connsiteY0" fmla="*/ 59818 h 527410"/>
            <a:gd name="connsiteX1" fmla="*/ 1047750 w 1053181"/>
            <a:gd name="connsiteY1" fmla="*/ 155068 h 527410"/>
            <a:gd name="connsiteX2" fmla="*/ 684068 w 1053181"/>
            <a:gd name="connsiteY2" fmla="*/ 527410 h 527410"/>
            <a:gd name="connsiteX3" fmla="*/ 684068 w 1053181"/>
            <a:gd name="connsiteY3" fmla="*/ 527410 h 527410"/>
            <a:gd name="connsiteX0" fmla="*/ 0 w 1053302"/>
            <a:gd name="connsiteY0" fmla="*/ 59818 h 971258"/>
            <a:gd name="connsiteX1" fmla="*/ 1047750 w 1053302"/>
            <a:gd name="connsiteY1" fmla="*/ 155068 h 971258"/>
            <a:gd name="connsiteX2" fmla="*/ 684068 w 1053302"/>
            <a:gd name="connsiteY2" fmla="*/ 527410 h 971258"/>
            <a:gd name="connsiteX3" fmla="*/ 630963 w 1053302"/>
            <a:gd name="connsiteY3" fmla="*/ 971258 h 971258"/>
            <a:gd name="connsiteX0" fmla="*/ 0 w 1509411"/>
            <a:gd name="connsiteY0" fmla="*/ 15403 h 1398219"/>
            <a:gd name="connsiteX1" fmla="*/ 1467569 w 1509411"/>
            <a:gd name="connsiteY1" fmla="*/ 582029 h 1398219"/>
            <a:gd name="connsiteX2" fmla="*/ 1103887 w 1509411"/>
            <a:gd name="connsiteY2" fmla="*/ 954371 h 1398219"/>
            <a:gd name="connsiteX3" fmla="*/ 1050782 w 1509411"/>
            <a:gd name="connsiteY3" fmla="*/ 1398219 h 1398219"/>
            <a:gd name="connsiteX0" fmla="*/ 0 w 1119769"/>
            <a:gd name="connsiteY0" fmla="*/ 20818 h 1403634"/>
            <a:gd name="connsiteX1" fmla="*/ 745122 w 1119769"/>
            <a:gd name="connsiteY1" fmla="*/ 428703 h 1403634"/>
            <a:gd name="connsiteX2" fmla="*/ 1103887 w 1119769"/>
            <a:gd name="connsiteY2" fmla="*/ 959786 h 1403634"/>
            <a:gd name="connsiteX3" fmla="*/ 1050782 w 1119769"/>
            <a:gd name="connsiteY3" fmla="*/ 1403634 h 1403634"/>
            <a:gd name="connsiteX0" fmla="*/ 0 w 1061461"/>
            <a:gd name="connsiteY0" fmla="*/ 20660 h 1403476"/>
            <a:gd name="connsiteX1" fmla="*/ 745122 w 1061461"/>
            <a:gd name="connsiteY1" fmla="*/ 428545 h 1403476"/>
            <a:gd name="connsiteX2" fmla="*/ 1017491 w 1061461"/>
            <a:gd name="connsiteY2" fmla="*/ 937634 h 1403476"/>
            <a:gd name="connsiteX3" fmla="*/ 1050782 w 1061461"/>
            <a:gd name="connsiteY3" fmla="*/ 1403476 h 1403476"/>
            <a:gd name="connsiteX0" fmla="*/ 0 w 1053132"/>
            <a:gd name="connsiteY0" fmla="*/ 20504 h 1403320"/>
            <a:gd name="connsiteX1" fmla="*/ 745122 w 1053132"/>
            <a:gd name="connsiteY1" fmla="*/ 428389 h 1403320"/>
            <a:gd name="connsiteX2" fmla="*/ 931095 w 1053132"/>
            <a:gd name="connsiteY2" fmla="*/ 915486 h 1403320"/>
            <a:gd name="connsiteX3" fmla="*/ 1050782 w 1053132"/>
            <a:gd name="connsiteY3" fmla="*/ 1403320 h 1403320"/>
            <a:gd name="connsiteX0" fmla="*/ 0 w 1053432"/>
            <a:gd name="connsiteY0" fmla="*/ 22175 h 1404991"/>
            <a:gd name="connsiteX1" fmla="*/ 673264 w 1053432"/>
            <a:gd name="connsiteY1" fmla="*/ 395279 h 1404991"/>
            <a:gd name="connsiteX2" fmla="*/ 931095 w 1053432"/>
            <a:gd name="connsiteY2" fmla="*/ 917157 h 1404991"/>
            <a:gd name="connsiteX3" fmla="*/ 1050782 w 1053432"/>
            <a:gd name="connsiteY3" fmla="*/ 1404991 h 1404991"/>
            <a:gd name="connsiteX0" fmla="*/ 0 w 1053432"/>
            <a:gd name="connsiteY0" fmla="*/ 25475 h 1408291"/>
            <a:gd name="connsiteX1" fmla="*/ 673264 w 1053432"/>
            <a:gd name="connsiteY1" fmla="*/ 398579 h 1408291"/>
            <a:gd name="connsiteX2" fmla="*/ 931095 w 1053432"/>
            <a:gd name="connsiteY2" fmla="*/ 920457 h 1408291"/>
            <a:gd name="connsiteX3" fmla="*/ 1050782 w 1053432"/>
            <a:gd name="connsiteY3" fmla="*/ 1408291 h 1408291"/>
            <a:gd name="connsiteX0" fmla="*/ 0 w 1054273"/>
            <a:gd name="connsiteY0" fmla="*/ 25475 h 1408291"/>
            <a:gd name="connsiteX1" fmla="*/ 673264 w 1054273"/>
            <a:gd name="connsiteY1" fmla="*/ 398579 h 1408291"/>
            <a:gd name="connsiteX2" fmla="*/ 931095 w 1054273"/>
            <a:gd name="connsiteY2" fmla="*/ 920457 h 1408291"/>
            <a:gd name="connsiteX3" fmla="*/ 1050782 w 1054273"/>
            <a:gd name="connsiteY3" fmla="*/ 1408291 h 1408291"/>
          </a:gdLst>
          <a:ahLst/>
          <a:cxnLst>
            <a:cxn ang="0">
              <a:pos x="connsiteX0" y="connsiteY0"/>
            </a:cxn>
            <a:cxn ang="0">
              <a:pos x="connsiteX1" y="connsiteY1"/>
            </a:cxn>
            <a:cxn ang="0">
              <a:pos x="connsiteX2" y="connsiteY2"/>
            </a:cxn>
            <a:cxn ang="0">
              <a:pos x="connsiteX3" y="connsiteY3"/>
            </a:cxn>
          </a:cxnLst>
          <a:rect l="l" t="t" r="r" b="b"/>
          <a:pathLst>
            <a:path w="1054273" h="1408291">
              <a:moveTo>
                <a:pt x="0" y="25475"/>
              </a:moveTo>
              <a:cubicBezTo>
                <a:pt x="506557" y="-85650"/>
                <a:pt x="538326" y="190346"/>
                <a:pt x="673264" y="398579"/>
              </a:cubicBezTo>
              <a:cubicBezTo>
                <a:pt x="808202" y="606812"/>
                <a:pt x="856473" y="757024"/>
                <a:pt x="931095" y="920457"/>
              </a:cubicBezTo>
              <a:cubicBezTo>
                <a:pt x="1017385" y="1109445"/>
                <a:pt x="1068484" y="1260342"/>
                <a:pt x="1050782" y="1408291"/>
              </a:cubicBez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1</xdr:col>
      <xdr:colOff>9525</xdr:colOff>
      <xdr:row>91</xdr:row>
      <xdr:rowOff>129886</xdr:rowOff>
    </xdr:from>
    <xdr:to>
      <xdr:col>10</xdr:col>
      <xdr:colOff>57150</xdr:colOff>
      <xdr:row>112</xdr:row>
      <xdr:rowOff>19050</xdr:rowOff>
    </xdr:to>
    <xdr:pic>
      <xdr:nvPicPr>
        <xdr:cNvPr id="11" name="Picture 10">
          <a:extLst>
            <a:ext uri="{FF2B5EF4-FFF2-40B4-BE49-F238E27FC236}">
              <a16:creationId xmlns:a16="http://schemas.microsoft.com/office/drawing/2014/main" id="{373F970A-5BE6-4EEF-BD86-C70D36F658BE}"/>
            </a:ext>
          </a:extLst>
        </xdr:cNvPr>
        <xdr:cNvPicPr>
          <a:picLocks/>
        </xdr:cNvPicPr>
      </xdr:nvPicPr>
      <xdr:blipFill rotWithShape="1">
        <a:blip xmlns:r="http://schemas.openxmlformats.org/officeDocument/2006/relationships" r:embed="rId4"/>
        <a:srcRect r="31191"/>
        <a:stretch/>
      </xdr:blipFill>
      <xdr:spPr>
        <a:xfrm>
          <a:off x="171450" y="13998286"/>
          <a:ext cx="3257550" cy="3089564"/>
        </a:xfrm>
        <a:prstGeom prst="rect">
          <a:avLst/>
        </a:prstGeom>
      </xdr:spPr>
    </xdr:pic>
    <xdr:clientData/>
  </xdr:twoCellAnchor>
  <xdr:twoCellAnchor editAs="oneCell">
    <xdr:from>
      <xdr:col>11</xdr:col>
      <xdr:colOff>142875</xdr:colOff>
      <xdr:row>91</xdr:row>
      <xdr:rowOff>129886</xdr:rowOff>
    </xdr:from>
    <xdr:to>
      <xdr:col>15</xdr:col>
      <xdr:colOff>123825</xdr:colOff>
      <xdr:row>112</xdr:row>
      <xdr:rowOff>9525</xdr:rowOff>
    </xdr:to>
    <xdr:pic>
      <xdr:nvPicPr>
        <xdr:cNvPr id="12" name="Picture 11">
          <a:extLst>
            <a:ext uri="{FF2B5EF4-FFF2-40B4-BE49-F238E27FC236}">
              <a16:creationId xmlns:a16="http://schemas.microsoft.com/office/drawing/2014/main" id="{D49EF2EF-D43E-4BD3-B395-EECBCEAF35FE}"/>
            </a:ext>
          </a:extLst>
        </xdr:cNvPr>
        <xdr:cNvPicPr>
          <a:picLocks/>
        </xdr:cNvPicPr>
      </xdr:nvPicPr>
      <xdr:blipFill rotWithShape="1">
        <a:blip xmlns:r="http://schemas.openxmlformats.org/officeDocument/2006/relationships" r:embed="rId5"/>
        <a:srcRect r="15601"/>
        <a:stretch/>
      </xdr:blipFill>
      <xdr:spPr>
        <a:xfrm>
          <a:off x="3971925" y="13998286"/>
          <a:ext cx="3743325" cy="3080039"/>
        </a:xfrm>
        <a:prstGeom prst="rect">
          <a:avLst/>
        </a:prstGeom>
      </xdr:spPr>
    </xdr:pic>
    <xdr:clientData/>
  </xdr:twoCellAnchor>
  <xdr:twoCellAnchor editAs="oneCell">
    <xdr:from>
      <xdr:col>16</xdr:col>
      <xdr:colOff>152400</xdr:colOff>
      <xdr:row>91</xdr:row>
      <xdr:rowOff>129887</xdr:rowOff>
    </xdr:from>
    <xdr:to>
      <xdr:col>17</xdr:col>
      <xdr:colOff>2009775</xdr:colOff>
      <xdr:row>112</xdr:row>
      <xdr:rowOff>57150</xdr:rowOff>
    </xdr:to>
    <xdr:pic>
      <xdr:nvPicPr>
        <xdr:cNvPr id="13" name="Picture 12">
          <a:extLst>
            <a:ext uri="{FF2B5EF4-FFF2-40B4-BE49-F238E27FC236}">
              <a16:creationId xmlns:a16="http://schemas.microsoft.com/office/drawing/2014/main" id="{8BABCC8F-1848-4D7B-9808-96FB088AB689}"/>
            </a:ext>
          </a:extLst>
        </xdr:cNvPr>
        <xdr:cNvPicPr>
          <a:picLocks/>
        </xdr:cNvPicPr>
      </xdr:nvPicPr>
      <xdr:blipFill rotWithShape="1">
        <a:blip xmlns:r="http://schemas.openxmlformats.org/officeDocument/2006/relationships" r:embed="rId6"/>
        <a:srcRect l="864" r="17107"/>
        <a:stretch/>
      </xdr:blipFill>
      <xdr:spPr>
        <a:xfrm>
          <a:off x="7943850" y="13998287"/>
          <a:ext cx="4010025" cy="3127663"/>
        </a:xfrm>
        <a:prstGeom prst="rect">
          <a:avLst/>
        </a:prstGeom>
      </xdr:spPr>
    </xdr:pic>
    <xdr:clientData/>
  </xdr:twoCellAnchor>
  <xdr:twoCellAnchor editAs="oneCell">
    <xdr:from>
      <xdr:col>16</xdr:col>
      <xdr:colOff>438149</xdr:colOff>
      <xdr:row>130</xdr:row>
      <xdr:rowOff>59693</xdr:rowOff>
    </xdr:from>
    <xdr:to>
      <xdr:col>18</xdr:col>
      <xdr:colOff>75648</xdr:colOff>
      <xdr:row>135</xdr:row>
      <xdr:rowOff>123825</xdr:rowOff>
    </xdr:to>
    <xdr:pic>
      <xdr:nvPicPr>
        <xdr:cNvPr id="14" name="Picture 13">
          <a:extLst>
            <a:ext uri="{FF2B5EF4-FFF2-40B4-BE49-F238E27FC236}">
              <a16:creationId xmlns:a16="http://schemas.microsoft.com/office/drawing/2014/main" id="{10BF9316-118C-4B17-9B52-3C7EC018C81E}"/>
            </a:ext>
          </a:extLst>
        </xdr:cNvPr>
        <xdr:cNvPicPr>
          <a:picLocks noChangeAspect="1"/>
        </xdr:cNvPicPr>
      </xdr:nvPicPr>
      <xdr:blipFill rotWithShape="1">
        <a:blip xmlns:r="http://schemas.openxmlformats.org/officeDocument/2006/relationships" r:embed="rId7"/>
        <a:srcRect b="5813"/>
        <a:stretch/>
      </xdr:blipFill>
      <xdr:spPr>
        <a:xfrm>
          <a:off x="8229599" y="19871693"/>
          <a:ext cx="3942799" cy="826132"/>
        </a:xfrm>
        <a:prstGeom prst="rect">
          <a:avLst/>
        </a:prstGeom>
      </xdr:spPr>
    </xdr:pic>
    <xdr:clientData/>
  </xdr:twoCellAnchor>
  <xdr:twoCellAnchor>
    <xdr:from>
      <xdr:col>14</xdr:col>
      <xdr:colOff>895350</xdr:colOff>
      <xdr:row>134</xdr:row>
      <xdr:rowOff>114300</xdr:rowOff>
    </xdr:from>
    <xdr:to>
      <xdr:col>17</xdr:col>
      <xdr:colOff>1144066</xdr:colOff>
      <xdr:row>138</xdr:row>
      <xdr:rowOff>1221</xdr:rowOff>
    </xdr:to>
    <xdr:sp macro="" textlink="">
      <xdr:nvSpPr>
        <xdr:cNvPr id="15" name="Freeform: Shape 14">
          <a:extLst>
            <a:ext uri="{FF2B5EF4-FFF2-40B4-BE49-F238E27FC236}">
              <a16:creationId xmlns:a16="http://schemas.microsoft.com/office/drawing/2014/main" id="{7D1A3FC7-BFA3-4ADE-9152-7981B0C84BAA}"/>
            </a:ext>
          </a:extLst>
        </xdr:cNvPr>
        <xdr:cNvSpPr/>
      </xdr:nvSpPr>
      <xdr:spPr>
        <a:xfrm>
          <a:off x="6324600" y="20535900"/>
          <a:ext cx="4763566" cy="496521"/>
        </a:xfrm>
        <a:custGeom>
          <a:avLst/>
          <a:gdLst>
            <a:gd name="connsiteX0" fmla="*/ 5549911 w 5674802"/>
            <a:gd name="connsiteY0" fmla="*/ 0 h 496521"/>
            <a:gd name="connsiteX1" fmla="*/ 5178436 w 5674802"/>
            <a:gd name="connsiteY1" fmla="*/ 438150 h 496521"/>
            <a:gd name="connsiteX2" fmla="*/ 1558936 w 5674802"/>
            <a:gd name="connsiteY2" fmla="*/ 485775 h 496521"/>
            <a:gd name="connsiteX3" fmla="*/ 139711 w 5674802"/>
            <a:gd name="connsiteY3" fmla="*/ 381000 h 496521"/>
            <a:gd name="connsiteX4" fmla="*/ 130186 w 5674802"/>
            <a:gd name="connsiteY4" fmla="*/ 352425 h 49652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674802" h="496521">
              <a:moveTo>
                <a:pt x="5549911" y="0"/>
              </a:moveTo>
              <a:cubicBezTo>
                <a:pt x="5696754" y="178594"/>
                <a:pt x="5843598" y="357188"/>
                <a:pt x="5178436" y="438150"/>
              </a:cubicBezTo>
              <a:cubicBezTo>
                <a:pt x="4513274" y="519112"/>
                <a:pt x="2398723" y="495300"/>
                <a:pt x="1558936" y="485775"/>
              </a:cubicBezTo>
              <a:cubicBezTo>
                <a:pt x="719149" y="476250"/>
                <a:pt x="377836" y="403225"/>
                <a:pt x="139711" y="381000"/>
              </a:cubicBezTo>
              <a:cubicBezTo>
                <a:pt x="-98414" y="358775"/>
                <a:pt x="15886" y="355600"/>
                <a:pt x="130186" y="352425"/>
              </a:cubicBez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14</xdr:col>
      <xdr:colOff>43928</xdr:colOff>
      <xdr:row>139</xdr:row>
      <xdr:rowOff>87833</xdr:rowOff>
    </xdr:from>
    <xdr:to>
      <xdr:col>14</xdr:col>
      <xdr:colOff>2076449</xdr:colOff>
      <xdr:row>155</xdr:row>
      <xdr:rowOff>38537</xdr:rowOff>
    </xdr:to>
    <xdr:pic>
      <xdr:nvPicPr>
        <xdr:cNvPr id="16" name="Picture 15">
          <a:extLst>
            <a:ext uri="{FF2B5EF4-FFF2-40B4-BE49-F238E27FC236}">
              <a16:creationId xmlns:a16="http://schemas.microsoft.com/office/drawing/2014/main" id="{722D58E6-5A8E-4AE6-BA9B-01106E053F8F}"/>
            </a:ext>
          </a:extLst>
        </xdr:cNvPr>
        <xdr:cNvPicPr>
          <a:picLocks noChangeAspect="1"/>
        </xdr:cNvPicPr>
      </xdr:nvPicPr>
      <xdr:blipFill>
        <a:blip xmlns:r="http://schemas.openxmlformats.org/officeDocument/2006/relationships" r:embed="rId8"/>
        <a:stretch>
          <a:fillRect/>
        </a:stretch>
      </xdr:blipFill>
      <xdr:spPr>
        <a:xfrm>
          <a:off x="5473178" y="21271433"/>
          <a:ext cx="2032521" cy="2389104"/>
        </a:xfrm>
        <a:prstGeom prst="rect">
          <a:avLst/>
        </a:prstGeom>
      </xdr:spPr>
    </xdr:pic>
    <xdr:clientData/>
  </xdr:twoCellAnchor>
  <xdr:twoCellAnchor editAs="oneCell">
    <xdr:from>
      <xdr:col>14</xdr:col>
      <xdr:colOff>1343025</xdr:colOff>
      <xdr:row>156</xdr:row>
      <xdr:rowOff>38101</xdr:rowOff>
    </xdr:from>
    <xdr:to>
      <xdr:col>17</xdr:col>
      <xdr:colOff>1161305</xdr:colOff>
      <xdr:row>162</xdr:row>
      <xdr:rowOff>2787</xdr:rowOff>
    </xdr:to>
    <xdr:pic>
      <xdr:nvPicPr>
        <xdr:cNvPr id="17" name="Picture 16">
          <a:extLst>
            <a:ext uri="{FF2B5EF4-FFF2-40B4-BE49-F238E27FC236}">
              <a16:creationId xmlns:a16="http://schemas.microsoft.com/office/drawing/2014/main" id="{8A9C926E-50BC-4710-AB42-3A7B18D2BC9D}"/>
            </a:ext>
          </a:extLst>
        </xdr:cNvPr>
        <xdr:cNvPicPr>
          <a:picLocks noChangeAspect="1"/>
        </xdr:cNvPicPr>
      </xdr:nvPicPr>
      <xdr:blipFill>
        <a:blip xmlns:r="http://schemas.openxmlformats.org/officeDocument/2006/relationships" r:embed="rId9"/>
        <a:stretch>
          <a:fillRect/>
        </a:stretch>
      </xdr:blipFill>
      <xdr:spPr>
        <a:xfrm>
          <a:off x="6772275" y="23812501"/>
          <a:ext cx="4333130" cy="879086"/>
        </a:xfrm>
        <a:prstGeom prst="rect">
          <a:avLst/>
        </a:prstGeom>
      </xdr:spPr>
    </xdr:pic>
    <xdr:clientData/>
  </xdr:twoCellAnchor>
  <xdr:twoCellAnchor editAs="oneCell">
    <xdr:from>
      <xdr:col>14</xdr:col>
      <xdr:colOff>300386</xdr:colOff>
      <xdr:row>163</xdr:row>
      <xdr:rowOff>133350</xdr:rowOff>
    </xdr:from>
    <xdr:to>
      <xdr:col>14</xdr:col>
      <xdr:colOff>1838326</xdr:colOff>
      <xdr:row>175</xdr:row>
      <xdr:rowOff>136039</xdr:rowOff>
    </xdr:to>
    <xdr:pic>
      <xdr:nvPicPr>
        <xdr:cNvPr id="18" name="Picture 17">
          <a:extLst>
            <a:ext uri="{FF2B5EF4-FFF2-40B4-BE49-F238E27FC236}">
              <a16:creationId xmlns:a16="http://schemas.microsoft.com/office/drawing/2014/main" id="{DC9645EA-C272-4F65-BF3F-27F00986166D}"/>
            </a:ext>
          </a:extLst>
        </xdr:cNvPr>
        <xdr:cNvPicPr>
          <a:picLocks noChangeAspect="1"/>
        </xdr:cNvPicPr>
      </xdr:nvPicPr>
      <xdr:blipFill>
        <a:blip xmlns:r="http://schemas.openxmlformats.org/officeDocument/2006/relationships" r:embed="rId10"/>
        <a:stretch>
          <a:fillRect/>
        </a:stretch>
      </xdr:blipFill>
      <xdr:spPr>
        <a:xfrm>
          <a:off x="5729636" y="24974550"/>
          <a:ext cx="1537940" cy="1831489"/>
        </a:xfrm>
        <a:prstGeom prst="rect">
          <a:avLst/>
        </a:prstGeom>
      </xdr:spPr>
    </xdr:pic>
    <xdr:clientData/>
  </xdr:twoCellAnchor>
  <xdr:twoCellAnchor editAs="oneCell">
    <xdr:from>
      <xdr:col>14</xdr:col>
      <xdr:colOff>1295399</xdr:colOff>
      <xdr:row>250</xdr:row>
      <xdr:rowOff>14605</xdr:rowOff>
    </xdr:from>
    <xdr:to>
      <xdr:col>16</xdr:col>
      <xdr:colOff>1451981</xdr:colOff>
      <xdr:row>257</xdr:row>
      <xdr:rowOff>95250</xdr:rowOff>
    </xdr:to>
    <xdr:pic>
      <xdr:nvPicPr>
        <xdr:cNvPr id="19" name="Picture 18">
          <a:extLst>
            <a:ext uri="{FF2B5EF4-FFF2-40B4-BE49-F238E27FC236}">
              <a16:creationId xmlns:a16="http://schemas.microsoft.com/office/drawing/2014/main" id="{C418F9C5-7E26-4B53-9AB3-F01EB795748C}"/>
            </a:ext>
          </a:extLst>
        </xdr:cNvPr>
        <xdr:cNvPicPr>
          <a:picLocks noChangeAspect="1"/>
        </xdr:cNvPicPr>
      </xdr:nvPicPr>
      <xdr:blipFill>
        <a:blip xmlns:r="http://schemas.openxmlformats.org/officeDocument/2006/relationships" r:embed="rId11"/>
        <a:stretch>
          <a:fillRect/>
        </a:stretch>
      </xdr:blipFill>
      <xdr:spPr>
        <a:xfrm>
          <a:off x="6724649" y="38114605"/>
          <a:ext cx="2518782" cy="1147445"/>
        </a:xfrm>
        <a:prstGeom prst="rect">
          <a:avLst/>
        </a:prstGeom>
      </xdr:spPr>
    </xdr:pic>
    <xdr:clientData/>
  </xdr:twoCellAnchor>
  <xdr:twoCellAnchor editAs="oneCell">
    <xdr:from>
      <xdr:col>14</xdr:col>
      <xdr:colOff>361950</xdr:colOff>
      <xdr:row>218</xdr:row>
      <xdr:rowOff>98184</xdr:rowOff>
    </xdr:from>
    <xdr:to>
      <xdr:col>16</xdr:col>
      <xdr:colOff>2018731</xdr:colOff>
      <xdr:row>225</xdr:row>
      <xdr:rowOff>57149</xdr:rowOff>
    </xdr:to>
    <xdr:pic>
      <xdr:nvPicPr>
        <xdr:cNvPr id="20" name="Picture 19">
          <a:extLst>
            <a:ext uri="{FF2B5EF4-FFF2-40B4-BE49-F238E27FC236}">
              <a16:creationId xmlns:a16="http://schemas.microsoft.com/office/drawing/2014/main" id="{1B8A314C-B783-47B2-A9FC-12C882A7F973}"/>
            </a:ext>
          </a:extLst>
        </xdr:cNvPr>
        <xdr:cNvPicPr>
          <a:picLocks noChangeAspect="1"/>
        </xdr:cNvPicPr>
      </xdr:nvPicPr>
      <xdr:blipFill>
        <a:blip xmlns:r="http://schemas.openxmlformats.org/officeDocument/2006/relationships" r:embed="rId12"/>
        <a:stretch>
          <a:fillRect/>
        </a:stretch>
      </xdr:blipFill>
      <xdr:spPr>
        <a:xfrm>
          <a:off x="5791200" y="33321384"/>
          <a:ext cx="4018981" cy="1025765"/>
        </a:xfrm>
        <a:prstGeom prst="rect">
          <a:avLst/>
        </a:prstGeom>
      </xdr:spPr>
    </xdr:pic>
    <xdr:clientData/>
  </xdr:twoCellAnchor>
  <xdr:twoCellAnchor editAs="oneCell">
    <xdr:from>
      <xdr:col>16</xdr:col>
      <xdr:colOff>114300</xdr:colOff>
      <xdr:row>259</xdr:row>
      <xdr:rowOff>83423</xdr:rowOff>
    </xdr:from>
    <xdr:to>
      <xdr:col>16</xdr:col>
      <xdr:colOff>1485900</xdr:colOff>
      <xdr:row>267</xdr:row>
      <xdr:rowOff>118814</xdr:rowOff>
    </xdr:to>
    <xdr:pic>
      <xdr:nvPicPr>
        <xdr:cNvPr id="21" name="Picture 20">
          <a:extLst>
            <a:ext uri="{FF2B5EF4-FFF2-40B4-BE49-F238E27FC236}">
              <a16:creationId xmlns:a16="http://schemas.microsoft.com/office/drawing/2014/main" id="{07370CCB-AC88-43A5-89CA-25E91C2D4A20}"/>
            </a:ext>
          </a:extLst>
        </xdr:cNvPr>
        <xdr:cNvPicPr>
          <a:picLocks noChangeAspect="1"/>
        </xdr:cNvPicPr>
      </xdr:nvPicPr>
      <xdr:blipFill>
        <a:blip xmlns:r="http://schemas.openxmlformats.org/officeDocument/2006/relationships" r:embed="rId13"/>
        <a:stretch>
          <a:fillRect/>
        </a:stretch>
      </xdr:blipFill>
      <xdr:spPr>
        <a:xfrm>
          <a:off x="7905750" y="39555023"/>
          <a:ext cx="1371600" cy="1254591"/>
        </a:xfrm>
        <a:prstGeom prst="rect">
          <a:avLst/>
        </a:prstGeom>
      </xdr:spPr>
    </xdr:pic>
    <xdr:clientData/>
  </xdr:twoCellAnchor>
  <xdr:twoCellAnchor editAs="oneCell">
    <xdr:from>
      <xdr:col>3</xdr:col>
      <xdr:colOff>66675</xdr:colOff>
      <xdr:row>274</xdr:row>
      <xdr:rowOff>104775</xdr:rowOff>
    </xdr:from>
    <xdr:to>
      <xdr:col>14</xdr:col>
      <xdr:colOff>1247073</xdr:colOff>
      <xdr:row>282</xdr:row>
      <xdr:rowOff>152242</xdr:rowOff>
    </xdr:to>
    <xdr:pic>
      <xdr:nvPicPr>
        <xdr:cNvPr id="22" name="Picture 21">
          <a:extLst>
            <a:ext uri="{FF2B5EF4-FFF2-40B4-BE49-F238E27FC236}">
              <a16:creationId xmlns:a16="http://schemas.microsoft.com/office/drawing/2014/main" id="{5E81DDC5-B563-45D0-9648-C93B7639A847}"/>
            </a:ext>
          </a:extLst>
        </xdr:cNvPr>
        <xdr:cNvPicPr>
          <a:picLocks noChangeAspect="1"/>
        </xdr:cNvPicPr>
      </xdr:nvPicPr>
      <xdr:blipFill>
        <a:blip xmlns:r="http://schemas.openxmlformats.org/officeDocument/2006/relationships" r:embed="rId14"/>
        <a:stretch>
          <a:fillRect/>
        </a:stretch>
      </xdr:blipFill>
      <xdr:spPr>
        <a:xfrm>
          <a:off x="1057275" y="41862375"/>
          <a:ext cx="5619048" cy="1266667"/>
        </a:xfrm>
        <a:prstGeom prst="rect">
          <a:avLst/>
        </a:prstGeom>
      </xdr:spPr>
    </xdr:pic>
    <xdr:clientData/>
  </xdr:twoCellAnchor>
  <xdr:oneCellAnchor>
    <xdr:from>
      <xdr:col>1</xdr:col>
      <xdr:colOff>9525</xdr:colOff>
      <xdr:row>1</xdr:row>
      <xdr:rowOff>38100</xdr:rowOff>
    </xdr:from>
    <xdr:ext cx="361950" cy="361950"/>
    <xdr:pic>
      <xdr:nvPicPr>
        <xdr:cNvPr id="23" name="Picture 22">
          <a:extLst>
            <a:ext uri="{FF2B5EF4-FFF2-40B4-BE49-F238E27FC236}">
              <a16:creationId xmlns:a16="http://schemas.microsoft.com/office/drawing/2014/main" id="{731AD92C-B204-4735-9E80-5809FEDBB12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09550" y="228600"/>
          <a:ext cx="361950" cy="361950"/>
        </a:xfrm>
        <a:prstGeom prst="rect">
          <a:avLst/>
        </a:prstGeom>
      </xdr:spPr>
    </xdr:pic>
    <xdr:clientData/>
  </xdr:oneCellAnchor>
  <xdr:twoCellAnchor>
    <xdr:from>
      <xdr:col>13</xdr:col>
      <xdr:colOff>447674</xdr:colOff>
      <xdr:row>1</xdr:row>
      <xdr:rowOff>57150</xdr:rowOff>
    </xdr:from>
    <xdr:to>
      <xdr:col>16</xdr:col>
      <xdr:colOff>695324</xdr:colOff>
      <xdr:row>4</xdr:row>
      <xdr:rowOff>131131</xdr:rowOff>
    </xdr:to>
    <xdr:grpSp>
      <xdr:nvGrpSpPr>
        <xdr:cNvPr id="39" name="Group 38">
          <a:hlinkClick xmlns:r="http://schemas.openxmlformats.org/officeDocument/2006/relationships" r:id="rId16" tooltip="Subscribe to our YouTube Channel"/>
          <a:extLst>
            <a:ext uri="{FF2B5EF4-FFF2-40B4-BE49-F238E27FC236}">
              <a16:creationId xmlns:a16="http://schemas.microsoft.com/office/drawing/2014/main" id="{F3691548-F3DA-4267-9192-AC62DA3E525E}"/>
            </a:ext>
          </a:extLst>
        </xdr:cNvPr>
        <xdr:cNvGrpSpPr/>
      </xdr:nvGrpSpPr>
      <xdr:grpSpPr>
        <a:xfrm>
          <a:off x="5584824" y="241300"/>
          <a:ext cx="3282950" cy="683581"/>
          <a:chOff x="6877050" y="1735769"/>
          <a:chExt cx="3209925" cy="616906"/>
        </a:xfrm>
      </xdr:grpSpPr>
      <xdr:pic>
        <xdr:nvPicPr>
          <xdr:cNvPr id="40" name="Picture 39">
            <a:extLst>
              <a:ext uri="{FF2B5EF4-FFF2-40B4-BE49-F238E27FC236}">
                <a16:creationId xmlns:a16="http://schemas.microsoft.com/office/drawing/2014/main" id="{9768ACA5-4609-9B1D-5753-F72FAB8963E7}"/>
              </a:ext>
            </a:extLst>
          </xdr:cNvPr>
          <xdr:cNvPicPr>
            <a:picLocks noChangeAspect="1"/>
          </xdr:cNvPicPr>
        </xdr:nvPicPr>
        <xdr:blipFill rotWithShape="1">
          <a:blip xmlns:r="http://schemas.openxmlformats.org/officeDocument/2006/relationships" r:embed="rId17"/>
          <a:srcRect l="21422" r="22564" b="61165"/>
          <a:stretch/>
        </xdr:blipFill>
        <xdr:spPr>
          <a:xfrm>
            <a:off x="6877050" y="1735769"/>
            <a:ext cx="3190875" cy="616906"/>
          </a:xfrm>
          <a:prstGeom prst="roundRect">
            <a:avLst>
              <a:gd name="adj" fmla="val 18431"/>
            </a:avLst>
          </a:prstGeom>
        </xdr:spPr>
      </xdr:pic>
      <xdr:pic>
        <xdr:nvPicPr>
          <xdr:cNvPr id="41" name="Picture 40">
            <a:hlinkClick xmlns:r="http://schemas.openxmlformats.org/officeDocument/2006/relationships" r:id="rId18" tooltip="Subscribe to our YouTube Channel"/>
            <a:extLst>
              <a:ext uri="{FF2B5EF4-FFF2-40B4-BE49-F238E27FC236}">
                <a16:creationId xmlns:a16="http://schemas.microsoft.com/office/drawing/2014/main" id="{297AF55F-DA0F-D00A-0A16-2894CCED0901}"/>
              </a:ext>
            </a:extLst>
          </xdr:cNvPr>
          <xdr:cNvPicPr>
            <a:picLocks noChangeAspect="1"/>
          </xdr:cNvPicPr>
        </xdr:nvPicPr>
        <xdr:blipFill>
          <a:blip xmlns:r="http://schemas.openxmlformats.org/officeDocument/2006/relationships" r:embed="rId19"/>
          <a:stretch>
            <a:fillRect/>
          </a:stretch>
        </xdr:blipFill>
        <xdr:spPr>
          <a:xfrm>
            <a:off x="8781626" y="1763078"/>
            <a:ext cx="1072787" cy="327858"/>
          </a:xfrm>
          <a:prstGeom prst="roundRect">
            <a:avLst>
              <a:gd name="adj" fmla="val 25491"/>
            </a:avLst>
          </a:prstGeom>
        </xdr:spPr>
      </xdr:pic>
      <xdr:pic>
        <xdr:nvPicPr>
          <xdr:cNvPr id="42" name="Picture 41">
            <a:extLst>
              <a:ext uri="{FF2B5EF4-FFF2-40B4-BE49-F238E27FC236}">
                <a16:creationId xmlns:a16="http://schemas.microsoft.com/office/drawing/2014/main" id="{D162A5DD-5861-52FD-4C89-4EF415326F04}"/>
              </a:ext>
            </a:extLst>
          </xdr:cNvPr>
          <xdr:cNvPicPr>
            <a:picLocks noChangeAspect="1"/>
          </xdr:cNvPicPr>
        </xdr:nvPicPr>
        <xdr:blipFill>
          <a:blip xmlns:r="http://schemas.openxmlformats.org/officeDocument/2006/relationships" r:embed="rId20"/>
          <a:stretch>
            <a:fillRect/>
          </a:stretch>
        </xdr:blipFill>
        <xdr:spPr>
          <a:xfrm>
            <a:off x="7324725" y="1777199"/>
            <a:ext cx="962025" cy="237126"/>
          </a:xfrm>
          <a:prstGeom prst="roundRect">
            <a:avLst>
              <a:gd name="adj" fmla="val 26144"/>
            </a:avLst>
          </a:prstGeom>
        </xdr:spPr>
      </xdr:pic>
      <xdr:sp macro="" textlink="">
        <xdr:nvSpPr>
          <xdr:cNvPr id="43" name="TextBox 42">
            <a:extLst>
              <a:ext uri="{FF2B5EF4-FFF2-40B4-BE49-F238E27FC236}">
                <a16:creationId xmlns:a16="http://schemas.microsoft.com/office/drawing/2014/main" id="{D6BA5607-B721-CA6C-0D84-D5E0408DDDD9}"/>
              </a:ext>
            </a:extLst>
          </xdr:cNvPr>
          <xdr:cNvSpPr txBox="1"/>
        </xdr:nvSpPr>
        <xdr:spPr>
          <a:xfrm>
            <a:off x="6915150" y="2085976"/>
            <a:ext cx="31718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1">
                <a:solidFill>
                  <a:schemeClr val="accent5">
                    <a:lumMod val="50000"/>
                  </a:schemeClr>
                </a:solidFill>
              </a:rPr>
              <a:t>To learn more</a:t>
            </a:r>
            <a:r>
              <a:rPr lang="en-GB" sz="1000" b="1" i="1" baseline="0">
                <a:solidFill>
                  <a:schemeClr val="accent5">
                    <a:lumMod val="50000"/>
                  </a:schemeClr>
                </a:solidFill>
              </a:rPr>
              <a:t>, c</a:t>
            </a:r>
            <a:r>
              <a:rPr lang="en-GB" sz="1000" b="1" i="1">
                <a:solidFill>
                  <a:schemeClr val="accent5">
                    <a:lumMod val="50000"/>
                  </a:schemeClr>
                </a:solidFill>
              </a:rPr>
              <a:t>lick here and don’t forget to subscribe</a:t>
            </a:r>
          </a:p>
        </xdr:txBody>
      </xdr:sp>
    </xdr:grpSp>
    <xdr:clientData/>
  </xdr:twoCellAnchor>
  <xdr:twoCellAnchor>
    <xdr:from>
      <xdr:col>6</xdr:col>
      <xdr:colOff>495300</xdr:colOff>
      <xdr:row>1</xdr:row>
      <xdr:rowOff>57150</xdr:rowOff>
    </xdr:from>
    <xdr:to>
      <xdr:col>13</xdr:col>
      <xdr:colOff>219075</xdr:colOff>
      <xdr:row>4</xdr:row>
      <xdr:rowOff>131131</xdr:rowOff>
    </xdr:to>
    <xdr:grpSp>
      <xdr:nvGrpSpPr>
        <xdr:cNvPr id="44" name="Group 43">
          <a:hlinkClick xmlns:r="http://schemas.openxmlformats.org/officeDocument/2006/relationships" r:id="rId21" tooltip="Visit our website"/>
          <a:extLst>
            <a:ext uri="{FF2B5EF4-FFF2-40B4-BE49-F238E27FC236}">
              <a16:creationId xmlns:a16="http://schemas.microsoft.com/office/drawing/2014/main" id="{FAB0A1E5-10BA-4AD4-BDC0-CB0EC3CB19F0}"/>
            </a:ext>
          </a:extLst>
        </xdr:cNvPr>
        <xdr:cNvGrpSpPr/>
      </xdr:nvGrpSpPr>
      <xdr:grpSpPr>
        <a:xfrm>
          <a:off x="2051050" y="241300"/>
          <a:ext cx="3305175" cy="683581"/>
          <a:chOff x="3048001" y="334328"/>
          <a:chExt cx="2724150" cy="616906"/>
        </a:xfrm>
      </xdr:grpSpPr>
      <xdr:pic>
        <xdr:nvPicPr>
          <xdr:cNvPr id="45" name="Picture 44">
            <a:extLst>
              <a:ext uri="{FF2B5EF4-FFF2-40B4-BE49-F238E27FC236}">
                <a16:creationId xmlns:a16="http://schemas.microsoft.com/office/drawing/2014/main" id="{FBFB8545-9492-84D5-22F2-7046A0001EC7}"/>
              </a:ext>
            </a:extLst>
          </xdr:cNvPr>
          <xdr:cNvPicPr>
            <a:picLocks noChangeAspect="1"/>
          </xdr:cNvPicPr>
        </xdr:nvPicPr>
        <xdr:blipFill rotWithShape="1">
          <a:blip xmlns:r="http://schemas.openxmlformats.org/officeDocument/2006/relationships" r:embed="rId17"/>
          <a:srcRect l="21422" r="22564" b="61165"/>
          <a:stretch/>
        </xdr:blipFill>
        <xdr:spPr>
          <a:xfrm>
            <a:off x="3048001" y="334328"/>
            <a:ext cx="2724150" cy="616906"/>
          </a:xfrm>
          <a:prstGeom prst="roundRect">
            <a:avLst>
              <a:gd name="adj" fmla="val 18431"/>
            </a:avLst>
          </a:prstGeom>
        </xdr:spPr>
      </xdr:pic>
      <xdr:sp macro="" textlink="">
        <xdr:nvSpPr>
          <xdr:cNvPr id="46" name="TextBox 45">
            <a:extLst>
              <a:ext uri="{FF2B5EF4-FFF2-40B4-BE49-F238E27FC236}">
                <a16:creationId xmlns:a16="http://schemas.microsoft.com/office/drawing/2014/main" id="{0A1AC5CA-E8A1-51CE-CF03-12EE3AFC593B}"/>
              </a:ext>
            </a:extLst>
          </xdr:cNvPr>
          <xdr:cNvSpPr txBox="1"/>
        </xdr:nvSpPr>
        <xdr:spPr>
          <a:xfrm>
            <a:off x="3409950" y="600075"/>
            <a:ext cx="2305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solidFill>
                  <a:schemeClr val="accent5">
                    <a:lumMod val="50000"/>
                  </a:schemeClr>
                </a:solidFill>
              </a:rPr>
              <a:t>visit our website www.finexskillshub.com</a:t>
            </a:r>
          </a:p>
        </xdr:txBody>
      </xdr:sp>
      <xdr:pic>
        <xdr:nvPicPr>
          <xdr:cNvPr id="47" name="Picture 46">
            <a:extLst>
              <a:ext uri="{FF2B5EF4-FFF2-40B4-BE49-F238E27FC236}">
                <a16:creationId xmlns:a16="http://schemas.microsoft.com/office/drawing/2014/main" id="{71025711-CAE0-C0D3-6DF6-52AC275A954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095625" y="372428"/>
            <a:ext cx="361950" cy="361950"/>
          </a:xfrm>
          <a:prstGeom prst="rect">
            <a:avLst/>
          </a:prstGeom>
        </xdr:spPr>
      </xdr:pic>
      <xdr:sp macro="" textlink="">
        <xdr:nvSpPr>
          <xdr:cNvPr id="48" name="TextBox 47">
            <a:extLst>
              <a:ext uri="{FF2B5EF4-FFF2-40B4-BE49-F238E27FC236}">
                <a16:creationId xmlns:a16="http://schemas.microsoft.com/office/drawing/2014/main" id="{22806BB2-7B41-843B-31ED-A5816EF0F06B}"/>
              </a:ext>
            </a:extLst>
          </xdr:cNvPr>
          <xdr:cNvSpPr txBox="1"/>
        </xdr:nvSpPr>
        <xdr:spPr>
          <a:xfrm>
            <a:off x="3409950" y="419100"/>
            <a:ext cx="14478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i="0">
                <a:solidFill>
                  <a:sysClr val="windowText" lastClr="000000"/>
                </a:solidFill>
              </a:rPr>
              <a:t>Finex Skills Hub</a:t>
            </a:r>
          </a:p>
        </xdr:txBody>
      </xdr:sp>
    </xdr:grpSp>
    <xdr:clientData/>
  </xdr:twoCellAnchor>
  <xdr:twoCellAnchor editAs="absolute">
    <xdr:from>
      <xdr:col>16</xdr:col>
      <xdr:colOff>1609725</xdr:colOff>
      <xdr:row>2</xdr:row>
      <xdr:rowOff>47627</xdr:rowOff>
    </xdr:from>
    <xdr:to>
      <xdr:col>17</xdr:col>
      <xdr:colOff>409569</xdr:colOff>
      <xdr:row>3</xdr:row>
      <xdr:rowOff>133577</xdr:rowOff>
    </xdr:to>
    <xdr:grpSp>
      <xdr:nvGrpSpPr>
        <xdr:cNvPr id="24" name="Group 23">
          <a:hlinkClick xmlns:r="http://schemas.openxmlformats.org/officeDocument/2006/relationships" r:id="rId22" tooltip="Go to Cover page"/>
          <a:extLst>
            <a:ext uri="{FF2B5EF4-FFF2-40B4-BE49-F238E27FC236}">
              <a16:creationId xmlns:a16="http://schemas.microsoft.com/office/drawing/2014/main" id="{3C2747A2-FAA6-4EFC-9040-92420C0B7B7A}"/>
            </a:ext>
          </a:extLst>
        </xdr:cNvPr>
        <xdr:cNvGrpSpPr/>
      </xdr:nvGrpSpPr>
      <xdr:grpSpPr>
        <a:xfrm>
          <a:off x="9782175" y="434977"/>
          <a:ext cx="1054094" cy="289150"/>
          <a:chOff x="3615235" y="2135609"/>
          <a:chExt cx="1011478" cy="463990"/>
        </a:xfrm>
      </xdr:grpSpPr>
      <xdr:sp macro="" textlink="">
        <xdr:nvSpPr>
          <xdr:cNvPr id="25" name="Rectangle 24">
            <a:extLst>
              <a:ext uri="{FF2B5EF4-FFF2-40B4-BE49-F238E27FC236}">
                <a16:creationId xmlns:a16="http://schemas.microsoft.com/office/drawing/2014/main" id="{5062D394-1DBD-A407-7833-5E8326B387F2}"/>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6" name="Graphic 3" descr="Back with solid fill">
            <a:extLst>
              <a:ext uri="{FF2B5EF4-FFF2-40B4-BE49-F238E27FC236}">
                <a16:creationId xmlns:a16="http://schemas.microsoft.com/office/drawing/2014/main" id="{55588173-0A02-453F-EB90-71E9E50B324F}"/>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27" name="TextBox 26">
            <a:extLst>
              <a:ext uri="{FF2B5EF4-FFF2-40B4-BE49-F238E27FC236}">
                <a16:creationId xmlns:a16="http://schemas.microsoft.com/office/drawing/2014/main" id="{CE39BE76-00A2-46F4-DE48-8F6B26118EEA}"/>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17</xdr:col>
      <xdr:colOff>1119983</xdr:colOff>
      <xdr:row>2</xdr:row>
      <xdr:rowOff>2</xdr:rowOff>
    </xdr:from>
    <xdr:to>
      <xdr:col>17</xdr:col>
      <xdr:colOff>1708369</xdr:colOff>
      <xdr:row>3</xdr:row>
      <xdr:rowOff>168431</xdr:rowOff>
    </xdr:to>
    <xdr:grpSp>
      <xdr:nvGrpSpPr>
        <xdr:cNvPr id="28" name="Group 27">
          <a:hlinkClick xmlns:r="http://schemas.openxmlformats.org/officeDocument/2006/relationships" r:id="rId23" tooltip="Go to Previous page"/>
          <a:extLst>
            <a:ext uri="{FF2B5EF4-FFF2-40B4-BE49-F238E27FC236}">
              <a16:creationId xmlns:a16="http://schemas.microsoft.com/office/drawing/2014/main" id="{90FA958D-0C21-43B8-9CFB-97C02125AE4A}"/>
            </a:ext>
          </a:extLst>
        </xdr:cNvPr>
        <xdr:cNvGrpSpPr/>
      </xdr:nvGrpSpPr>
      <xdr:grpSpPr>
        <a:xfrm>
          <a:off x="11546683" y="387352"/>
          <a:ext cx="588386" cy="371629"/>
          <a:chOff x="3207261" y="2135607"/>
          <a:chExt cx="689910" cy="602421"/>
        </a:xfrm>
      </xdr:grpSpPr>
      <xdr:sp macro="" textlink="">
        <xdr:nvSpPr>
          <xdr:cNvPr id="29" name="Rectangle 28">
            <a:extLst>
              <a:ext uri="{FF2B5EF4-FFF2-40B4-BE49-F238E27FC236}">
                <a16:creationId xmlns:a16="http://schemas.microsoft.com/office/drawing/2014/main" id="{472CF9E8-B1D2-B9B7-26E0-7F6ADDB2DF6D}"/>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0" name="Graphic 3" descr="Back with solid fill">
            <a:extLst>
              <a:ext uri="{FF2B5EF4-FFF2-40B4-BE49-F238E27FC236}">
                <a16:creationId xmlns:a16="http://schemas.microsoft.com/office/drawing/2014/main" id="{DA4876D8-07F1-881C-C696-1021AA933229}"/>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1" name="TextBox 30">
            <a:extLst>
              <a:ext uri="{FF2B5EF4-FFF2-40B4-BE49-F238E27FC236}">
                <a16:creationId xmlns:a16="http://schemas.microsoft.com/office/drawing/2014/main" id="{A87F84EA-0C43-BF69-28D8-569980F0F12E}"/>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17</xdr:col>
      <xdr:colOff>1936499</xdr:colOff>
      <xdr:row>2</xdr:row>
      <xdr:rowOff>0</xdr:rowOff>
    </xdr:from>
    <xdr:to>
      <xdr:col>18</xdr:col>
      <xdr:colOff>342894</xdr:colOff>
      <xdr:row>3</xdr:row>
      <xdr:rowOff>168429</xdr:rowOff>
    </xdr:to>
    <xdr:grpSp>
      <xdr:nvGrpSpPr>
        <xdr:cNvPr id="32" name="Group 31">
          <a:hlinkClick xmlns:r="http://schemas.openxmlformats.org/officeDocument/2006/relationships" r:id="rId24" tooltip="Go to Next page"/>
          <a:extLst>
            <a:ext uri="{FF2B5EF4-FFF2-40B4-BE49-F238E27FC236}">
              <a16:creationId xmlns:a16="http://schemas.microsoft.com/office/drawing/2014/main" id="{7AEC7E92-09E1-4FD4-84E5-7FF16B2EF749}"/>
            </a:ext>
          </a:extLst>
        </xdr:cNvPr>
        <xdr:cNvGrpSpPr/>
      </xdr:nvGrpSpPr>
      <xdr:grpSpPr>
        <a:xfrm rot="10800000">
          <a:off x="12363199" y="387350"/>
          <a:ext cx="660645" cy="371629"/>
          <a:chOff x="3185180" y="2135611"/>
          <a:chExt cx="648224" cy="602421"/>
        </a:xfrm>
      </xdr:grpSpPr>
      <xdr:sp macro="" textlink="">
        <xdr:nvSpPr>
          <xdr:cNvPr id="33" name="Rectangle 32">
            <a:extLst>
              <a:ext uri="{FF2B5EF4-FFF2-40B4-BE49-F238E27FC236}">
                <a16:creationId xmlns:a16="http://schemas.microsoft.com/office/drawing/2014/main" id="{21B7754D-5FF1-94EB-13CF-CED9B8DF9452}"/>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4" name="Graphic 3" descr="Back with solid fill">
            <a:extLst>
              <a:ext uri="{FF2B5EF4-FFF2-40B4-BE49-F238E27FC236}">
                <a16:creationId xmlns:a16="http://schemas.microsoft.com/office/drawing/2014/main" id="{75117F1C-4088-8E00-24AB-59EB7521F3D5}"/>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5" name="TextBox 34">
            <a:extLst>
              <a:ext uri="{FF2B5EF4-FFF2-40B4-BE49-F238E27FC236}">
                <a16:creationId xmlns:a16="http://schemas.microsoft.com/office/drawing/2014/main" id="{871ED490-C9D3-2672-E5C7-1EA93AB76E2C}"/>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17</xdr:col>
      <xdr:colOff>637698</xdr:colOff>
      <xdr:row>2</xdr:row>
      <xdr:rowOff>44606</xdr:rowOff>
    </xdr:from>
    <xdr:to>
      <xdr:col>17</xdr:col>
      <xdr:colOff>891854</xdr:colOff>
      <xdr:row>3</xdr:row>
      <xdr:rowOff>106378</xdr:rowOff>
    </xdr:to>
    <xdr:grpSp>
      <xdr:nvGrpSpPr>
        <xdr:cNvPr id="36" name="Group 35">
          <a:hlinkClick xmlns:r="http://schemas.openxmlformats.org/officeDocument/2006/relationships" r:id="rId25" tooltip="Go to Gallery"/>
          <a:extLst>
            <a:ext uri="{FF2B5EF4-FFF2-40B4-BE49-F238E27FC236}">
              <a16:creationId xmlns:a16="http://schemas.microsoft.com/office/drawing/2014/main" id="{320DFD5C-0B44-43DC-9237-AEC61F9B79D8}"/>
            </a:ext>
          </a:extLst>
        </xdr:cNvPr>
        <xdr:cNvGrpSpPr/>
      </xdr:nvGrpSpPr>
      <xdr:grpSpPr>
        <a:xfrm>
          <a:off x="11064398" y="431956"/>
          <a:ext cx="254156" cy="264972"/>
          <a:chOff x="5270413" y="829190"/>
          <a:chExt cx="251434" cy="252272"/>
        </a:xfrm>
      </xdr:grpSpPr>
      <xdr:sp macro="" textlink="">
        <xdr:nvSpPr>
          <xdr:cNvPr id="37" name="Rectangle 36">
            <a:extLst>
              <a:ext uri="{FF2B5EF4-FFF2-40B4-BE49-F238E27FC236}">
                <a16:creationId xmlns:a16="http://schemas.microsoft.com/office/drawing/2014/main" id="{2279FF91-9E0C-5497-106C-8A229071568C}"/>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8" name="Rectangle 37">
            <a:extLst>
              <a:ext uri="{FF2B5EF4-FFF2-40B4-BE49-F238E27FC236}">
                <a16:creationId xmlns:a16="http://schemas.microsoft.com/office/drawing/2014/main" id="{BA775D4B-5B6A-9F93-0340-47450D88CE64}"/>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9" name="Rectangle 48">
            <a:extLst>
              <a:ext uri="{FF2B5EF4-FFF2-40B4-BE49-F238E27FC236}">
                <a16:creationId xmlns:a16="http://schemas.microsoft.com/office/drawing/2014/main" id="{81578517-1824-4484-B533-6750279966D0}"/>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0" name="Rectangle 49">
            <a:extLst>
              <a:ext uri="{FF2B5EF4-FFF2-40B4-BE49-F238E27FC236}">
                <a16:creationId xmlns:a16="http://schemas.microsoft.com/office/drawing/2014/main" id="{154DCD69-9CB7-E8B3-937A-7B68A4FB9438}"/>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1" name="Rectangle 50">
            <a:extLst>
              <a:ext uri="{FF2B5EF4-FFF2-40B4-BE49-F238E27FC236}">
                <a16:creationId xmlns:a16="http://schemas.microsoft.com/office/drawing/2014/main" id="{0BB54A6D-3314-4069-406E-32335F1EF834}"/>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2" name="Rectangle 51">
            <a:extLst>
              <a:ext uri="{FF2B5EF4-FFF2-40B4-BE49-F238E27FC236}">
                <a16:creationId xmlns:a16="http://schemas.microsoft.com/office/drawing/2014/main" id="{42F66C11-80BD-A693-5F58-FD537498859E}"/>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3" name="Rectangle 52">
            <a:extLst>
              <a:ext uri="{FF2B5EF4-FFF2-40B4-BE49-F238E27FC236}">
                <a16:creationId xmlns:a16="http://schemas.microsoft.com/office/drawing/2014/main" id="{23DCAE0C-2ADE-A3CE-A6FD-6B6941184507}"/>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4" name="Rectangle 53">
            <a:extLst>
              <a:ext uri="{FF2B5EF4-FFF2-40B4-BE49-F238E27FC236}">
                <a16:creationId xmlns:a16="http://schemas.microsoft.com/office/drawing/2014/main" id="{88478BD9-23CF-3C51-4DB8-780079B1671E}"/>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5" name="Rectangle 54">
            <a:extLst>
              <a:ext uri="{FF2B5EF4-FFF2-40B4-BE49-F238E27FC236}">
                <a16:creationId xmlns:a16="http://schemas.microsoft.com/office/drawing/2014/main" id="{E3778899-1A85-2A86-8FA3-9361F14AD67E}"/>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47625</xdr:rowOff>
    </xdr:from>
    <xdr:to>
      <xdr:col>6</xdr:col>
      <xdr:colOff>609600</xdr:colOff>
      <xdr:row>4</xdr:row>
      <xdr:rowOff>19050</xdr:rowOff>
    </xdr:to>
    <xdr:sp macro="" textlink="">
      <xdr:nvSpPr>
        <xdr:cNvPr id="56" name="Rectangle 55">
          <a:hlinkClick xmlns:r="http://schemas.openxmlformats.org/officeDocument/2006/relationships" r:id="rId21" tooltip="Visit our website"/>
          <a:extLst>
            <a:ext uri="{FF2B5EF4-FFF2-40B4-BE49-F238E27FC236}">
              <a16:creationId xmlns:a16="http://schemas.microsoft.com/office/drawing/2014/main" id="{F952D99D-1179-4043-A2F2-B00B1AF4D069}"/>
            </a:ext>
          </a:extLst>
        </xdr:cNvPr>
        <xdr:cNvSpPr/>
      </xdr:nvSpPr>
      <xdr:spPr>
        <a:xfrm>
          <a:off x="161925" y="23812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8</xdr:row>
      <xdr:rowOff>0</xdr:rowOff>
    </xdr:from>
    <xdr:to>
      <xdr:col>4</xdr:col>
      <xdr:colOff>0</xdr:colOff>
      <xdr:row>15</xdr:row>
      <xdr:rowOff>180974</xdr:rowOff>
    </xdr:to>
    <xdr:sp macro="" textlink="">
      <xdr:nvSpPr>
        <xdr:cNvPr id="2" name="Rectangle: Rounded Corners 1">
          <a:hlinkClick xmlns:r="http://schemas.openxmlformats.org/officeDocument/2006/relationships" r:id="rId1" tooltip="Assignment-Sales Data"/>
          <a:extLst>
            <a:ext uri="{FF2B5EF4-FFF2-40B4-BE49-F238E27FC236}">
              <a16:creationId xmlns:a16="http://schemas.microsoft.com/office/drawing/2014/main" id="{5506BC17-EEF5-43C1-B714-B78A9E34DAEF}"/>
            </a:ext>
          </a:extLst>
        </xdr:cNvPr>
        <xdr:cNvSpPr/>
      </xdr:nvSpPr>
      <xdr:spPr>
        <a:xfrm>
          <a:off x="161925" y="1381125"/>
          <a:ext cx="1809750" cy="1447799"/>
        </a:xfrm>
        <a:prstGeom prst="roundRect">
          <a:avLst>
            <a:gd name="adj" fmla="val 4481"/>
          </a:avLst>
        </a:prstGeom>
        <a:blipFill>
          <a:blip xmlns:r="http://schemas.openxmlformats.org/officeDocument/2006/relationships" r:embed="rId2"/>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0</xdr:colOff>
      <xdr:row>8</xdr:row>
      <xdr:rowOff>0</xdr:rowOff>
    </xdr:from>
    <xdr:to>
      <xdr:col>12</xdr:col>
      <xdr:colOff>0</xdr:colOff>
      <xdr:row>15</xdr:row>
      <xdr:rowOff>180974</xdr:rowOff>
    </xdr:to>
    <xdr:sp macro="" textlink="">
      <xdr:nvSpPr>
        <xdr:cNvPr id="4" name="Rectangle: Rounded Corners 3">
          <a:hlinkClick xmlns:r="http://schemas.openxmlformats.org/officeDocument/2006/relationships" r:id="rId3" tooltip="Assignment-Budget"/>
          <a:extLst>
            <a:ext uri="{FF2B5EF4-FFF2-40B4-BE49-F238E27FC236}">
              <a16:creationId xmlns:a16="http://schemas.microsoft.com/office/drawing/2014/main" id="{D6D44EB4-7F85-43EF-8C3E-ADD4E4346F0F}"/>
            </a:ext>
          </a:extLst>
        </xdr:cNvPr>
        <xdr:cNvSpPr/>
      </xdr:nvSpPr>
      <xdr:spPr>
        <a:xfrm>
          <a:off x="4276725" y="1381125"/>
          <a:ext cx="1809750" cy="1447799"/>
        </a:xfrm>
        <a:prstGeom prst="roundRect">
          <a:avLst>
            <a:gd name="adj" fmla="val 4481"/>
          </a:avLst>
        </a:prstGeom>
        <a:blipFill>
          <a:blip xmlns:r="http://schemas.openxmlformats.org/officeDocument/2006/relationships" r:embed="rId4"/>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0</xdr:colOff>
      <xdr:row>8</xdr:row>
      <xdr:rowOff>0</xdr:rowOff>
    </xdr:from>
    <xdr:to>
      <xdr:col>20</xdr:col>
      <xdr:colOff>0</xdr:colOff>
      <xdr:row>15</xdr:row>
      <xdr:rowOff>180974</xdr:rowOff>
    </xdr:to>
    <xdr:sp macro="" textlink="">
      <xdr:nvSpPr>
        <xdr:cNvPr id="6" name="Rectangle: Rounded Corners 5">
          <a:hlinkClick xmlns:r="http://schemas.openxmlformats.org/officeDocument/2006/relationships" r:id="rId5" tooltip="Assignment-Logic"/>
          <a:extLst>
            <a:ext uri="{FF2B5EF4-FFF2-40B4-BE49-F238E27FC236}">
              <a16:creationId xmlns:a16="http://schemas.microsoft.com/office/drawing/2014/main" id="{4EFA0619-FD64-4C09-B065-816E968AB1DE}"/>
            </a:ext>
          </a:extLst>
        </xdr:cNvPr>
        <xdr:cNvSpPr/>
      </xdr:nvSpPr>
      <xdr:spPr>
        <a:xfrm>
          <a:off x="8391525" y="1381125"/>
          <a:ext cx="1809750" cy="1447799"/>
        </a:xfrm>
        <a:prstGeom prst="roundRect">
          <a:avLst>
            <a:gd name="adj" fmla="val 4481"/>
          </a:avLst>
        </a:prstGeom>
        <a:blipFill>
          <a:blip xmlns:r="http://schemas.openxmlformats.org/officeDocument/2006/relationships" r:embed="rId6"/>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0</xdr:colOff>
      <xdr:row>18</xdr:row>
      <xdr:rowOff>0</xdr:rowOff>
    </xdr:from>
    <xdr:to>
      <xdr:col>8</xdr:col>
      <xdr:colOff>0</xdr:colOff>
      <xdr:row>25</xdr:row>
      <xdr:rowOff>180974</xdr:rowOff>
    </xdr:to>
    <xdr:sp macro="" textlink="">
      <xdr:nvSpPr>
        <xdr:cNvPr id="9" name="Rectangle: Rounded Corners 8">
          <a:hlinkClick xmlns:r="http://schemas.openxmlformats.org/officeDocument/2006/relationships" r:id="rId7" tooltip="Assignment-Lookup"/>
          <a:extLst>
            <a:ext uri="{FF2B5EF4-FFF2-40B4-BE49-F238E27FC236}">
              <a16:creationId xmlns:a16="http://schemas.microsoft.com/office/drawing/2014/main" id="{C80ACE8E-F966-4942-AD21-8BCA3ECBC0C6}"/>
            </a:ext>
          </a:extLst>
        </xdr:cNvPr>
        <xdr:cNvSpPr/>
      </xdr:nvSpPr>
      <xdr:spPr>
        <a:xfrm>
          <a:off x="2219325" y="3190875"/>
          <a:ext cx="1809750" cy="1447799"/>
        </a:xfrm>
        <a:prstGeom prst="roundRect">
          <a:avLst>
            <a:gd name="adj" fmla="val 4481"/>
          </a:avLst>
        </a:prstGeom>
        <a:blipFill>
          <a:blip xmlns:r="http://schemas.openxmlformats.org/officeDocument/2006/relationships" r:embed="rId8"/>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0</xdr:colOff>
      <xdr:row>18</xdr:row>
      <xdr:rowOff>0</xdr:rowOff>
    </xdr:from>
    <xdr:to>
      <xdr:col>16</xdr:col>
      <xdr:colOff>0</xdr:colOff>
      <xdr:row>25</xdr:row>
      <xdr:rowOff>180974</xdr:rowOff>
    </xdr:to>
    <xdr:sp macro="" textlink="">
      <xdr:nvSpPr>
        <xdr:cNvPr id="11" name="Rectangle: Rounded Corners 10">
          <a:hlinkClick xmlns:r="http://schemas.openxmlformats.org/officeDocument/2006/relationships" r:id="rId9" tooltip="Assignment-Text"/>
          <a:extLst>
            <a:ext uri="{FF2B5EF4-FFF2-40B4-BE49-F238E27FC236}">
              <a16:creationId xmlns:a16="http://schemas.microsoft.com/office/drawing/2014/main" id="{AD33277B-4805-43BA-8664-B1F3031CC1CA}"/>
            </a:ext>
          </a:extLst>
        </xdr:cNvPr>
        <xdr:cNvSpPr/>
      </xdr:nvSpPr>
      <xdr:spPr>
        <a:xfrm>
          <a:off x="6334125" y="3190875"/>
          <a:ext cx="1809750" cy="1447799"/>
        </a:xfrm>
        <a:prstGeom prst="roundRect">
          <a:avLst>
            <a:gd name="adj" fmla="val 4481"/>
          </a:avLst>
        </a:prstGeom>
        <a:blipFill>
          <a:blip xmlns:r="http://schemas.openxmlformats.org/officeDocument/2006/relationships" r:embed="rId10"/>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19</xdr:col>
      <xdr:colOff>0</xdr:colOff>
      <xdr:row>1</xdr:row>
      <xdr:rowOff>47627</xdr:rowOff>
    </xdr:from>
    <xdr:to>
      <xdr:col>20</xdr:col>
      <xdr:colOff>171444</xdr:colOff>
      <xdr:row>1</xdr:row>
      <xdr:rowOff>324077</xdr:rowOff>
    </xdr:to>
    <xdr:grpSp>
      <xdr:nvGrpSpPr>
        <xdr:cNvPr id="14" name="Group 13">
          <a:hlinkClick xmlns:r="http://schemas.openxmlformats.org/officeDocument/2006/relationships" r:id="rId11" tooltip="Go to Cover page"/>
          <a:extLst>
            <a:ext uri="{FF2B5EF4-FFF2-40B4-BE49-F238E27FC236}">
              <a16:creationId xmlns:a16="http://schemas.microsoft.com/office/drawing/2014/main" id="{42664A10-4E4B-4BBC-BCDD-E835D6C8FF15}"/>
            </a:ext>
          </a:extLst>
        </xdr:cNvPr>
        <xdr:cNvGrpSpPr/>
      </xdr:nvGrpSpPr>
      <xdr:grpSpPr>
        <a:xfrm>
          <a:off x="9886950" y="225427"/>
          <a:ext cx="990594" cy="276450"/>
          <a:chOff x="3615235" y="2135609"/>
          <a:chExt cx="1011478" cy="463990"/>
        </a:xfrm>
      </xdr:grpSpPr>
      <xdr:sp macro="" textlink="">
        <xdr:nvSpPr>
          <xdr:cNvPr id="15" name="Rectangle 14">
            <a:extLst>
              <a:ext uri="{FF2B5EF4-FFF2-40B4-BE49-F238E27FC236}">
                <a16:creationId xmlns:a16="http://schemas.microsoft.com/office/drawing/2014/main" id="{5966372F-AAD4-7C65-1F1D-0DFC10F53F0C}"/>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chemeClr val="accent1">
                  <a:lumMod val="50000"/>
                </a:schemeClr>
              </a:solidFill>
            </a:endParaRPr>
          </a:p>
        </xdr:txBody>
      </xdr:sp>
      <xdr:sp macro="" textlink="">
        <xdr:nvSpPr>
          <xdr:cNvPr id="16" name="Graphic 3" descr="Back with solid fill">
            <a:extLst>
              <a:ext uri="{FF2B5EF4-FFF2-40B4-BE49-F238E27FC236}">
                <a16:creationId xmlns:a16="http://schemas.microsoft.com/office/drawing/2014/main" id="{579EE132-3837-11DA-CEEE-1119F36C6394}"/>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accent1">
              <a:lumMod val="50000"/>
            </a:schemeClr>
          </a:solidFill>
          <a:ln w="9525" cap="flat">
            <a:noFill/>
            <a:prstDash val="solid"/>
            <a:miter/>
          </a:ln>
        </xdr:spPr>
        <xdr:txBody>
          <a:bodyPr rtlCol="0" anchor="ctr"/>
          <a:lstStyle/>
          <a:p>
            <a:endParaRPr lang="en-GH">
              <a:solidFill>
                <a:schemeClr val="accent1">
                  <a:lumMod val="50000"/>
                </a:schemeClr>
              </a:solidFill>
            </a:endParaRPr>
          </a:p>
        </xdr:txBody>
      </xdr:sp>
      <xdr:sp macro="" textlink="">
        <xdr:nvSpPr>
          <xdr:cNvPr id="17" name="TextBox 16">
            <a:extLst>
              <a:ext uri="{FF2B5EF4-FFF2-40B4-BE49-F238E27FC236}">
                <a16:creationId xmlns:a16="http://schemas.microsoft.com/office/drawing/2014/main" id="{1ACE4F0B-B636-6C6B-A716-D7904DEFDE29}"/>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accent1">
                    <a:lumMod val="50000"/>
                  </a:schemeClr>
                </a:solidFill>
                <a:latin typeface="Comic Sans MS" panose="030F0702030302020204" pitchFamily="66" charset="0"/>
              </a:rPr>
              <a:t>Cover page</a:t>
            </a:r>
          </a:p>
        </xdr:txBody>
      </xdr:sp>
    </xdr:grpSp>
    <xdr:clientData/>
  </xdr:twoCellAnchor>
  <xdr:twoCellAnchor>
    <xdr:from>
      <xdr:col>22</xdr:col>
      <xdr:colOff>386558</xdr:colOff>
      <xdr:row>1</xdr:row>
      <xdr:rowOff>2</xdr:rowOff>
    </xdr:from>
    <xdr:to>
      <xdr:col>23</xdr:col>
      <xdr:colOff>193894</xdr:colOff>
      <xdr:row>2</xdr:row>
      <xdr:rowOff>25556</xdr:rowOff>
    </xdr:to>
    <xdr:grpSp>
      <xdr:nvGrpSpPr>
        <xdr:cNvPr id="18" name="Group 17">
          <a:hlinkClick xmlns:r="http://schemas.openxmlformats.org/officeDocument/2006/relationships" r:id="rId12" tooltip="Go to Previous page"/>
          <a:extLst>
            <a:ext uri="{FF2B5EF4-FFF2-40B4-BE49-F238E27FC236}">
              <a16:creationId xmlns:a16="http://schemas.microsoft.com/office/drawing/2014/main" id="{20553E0A-4FB4-4081-A1F1-3E598C77D81F}"/>
            </a:ext>
          </a:extLst>
        </xdr:cNvPr>
        <xdr:cNvGrpSpPr/>
      </xdr:nvGrpSpPr>
      <xdr:grpSpPr>
        <a:xfrm>
          <a:off x="11613358" y="177802"/>
          <a:ext cx="626486" cy="355754"/>
          <a:chOff x="3207261" y="2135607"/>
          <a:chExt cx="689910" cy="602421"/>
        </a:xfrm>
      </xdr:grpSpPr>
      <xdr:sp macro="" textlink="">
        <xdr:nvSpPr>
          <xdr:cNvPr id="19" name="Rectangle 18">
            <a:extLst>
              <a:ext uri="{FF2B5EF4-FFF2-40B4-BE49-F238E27FC236}">
                <a16:creationId xmlns:a16="http://schemas.microsoft.com/office/drawing/2014/main" id="{6F7EFCCF-958E-7FAB-E7FF-76B416026D87}"/>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0" name="Graphic 3" descr="Back with solid fill">
            <a:extLst>
              <a:ext uri="{FF2B5EF4-FFF2-40B4-BE49-F238E27FC236}">
                <a16:creationId xmlns:a16="http://schemas.microsoft.com/office/drawing/2014/main" id="{E0E91653-28F4-C48D-5456-6C59E60661E8}"/>
              </a:ext>
            </a:extLst>
          </xdr:cNvPr>
          <xdr:cNvSpPr/>
        </xdr:nvSpPr>
        <xdr:spPr>
          <a:xfrm flipH="1">
            <a:off x="3207261" y="2194483"/>
            <a:ext cx="633176" cy="483375"/>
          </a:xfrm>
          <a:prstGeom prst="rightArrow">
            <a:avLst>
              <a:gd name="adj1" fmla="val 62251"/>
              <a:gd name="adj2" fmla="val 34815"/>
            </a:avLst>
          </a:prstGeom>
          <a:solidFill>
            <a:schemeClr val="accent1">
              <a:lumMod val="50000"/>
            </a:schemeClr>
          </a:solidFill>
          <a:ln w="9525" cap="flat">
            <a:noFill/>
            <a:prstDash val="solid"/>
            <a:miter/>
          </a:ln>
        </xdr:spPr>
        <xdr:txBody>
          <a:bodyPr rtlCol="0" anchor="ctr"/>
          <a:lstStyle/>
          <a:p>
            <a:endParaRPr lang="en-GH"/>
          </a:p>
        </xdr:txBody>
      </xdr:sp>
      <xdr:sp macro="" textlink="">
        <xdr:nvSpPr>
          <xdr:cNvPr id="21" name="TextBox 20">
            <a:extLst>
              <a:ext uri="{FF2B5EF4-FFF2-40B4-BE49-F238E27FC236}">
                <a16:creationId xmlns:a16="http://schemas.microsoft.com/office/drawing/2014/main" id="{8072373F-F69F-E38C-AA23-68B816E75C27}"/>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Previous</a:t>
            </a:r>
          </a:p>
        </xdr:txBody>
      </xdr:sp>
    </xdr:grpSp>
    <xdr:clientData/>
  </xdr:twoCellAnchor>
  <xdr:twoCellAnchor>
    <xdr:from>
      <xdr:col>23</xdr:col>
      <xdr:colOff>422024</xdr:colOff>
      <xdr:row>1</xdr:row>
      <xdr:rowOff>0</xdr:rowOff>
    </xdr:from>
    <xdr:to>
      <xdr:col>24</xdr:col>
      <xdr:colOff>200019</xdr:colOff>
      <xdr:row>2</xdr:row>
      <xdr:rowOff>25554</xdr:rowOff>
    </xdr:to>
    <xdr:grpSp>
      <xdr:nvGrpSpPr>
        <xdr:cNvPr id="22" name="Group 21">
          <a:hlinkClick xmlns:r="http://schemas.openxmlformats.org/officeDocument/2006/relationships" r:id="rId1" tooltip="Go to Next page"/>
          <a:extLst>
            <a:ext uri="{FF2B5EF4-FFF2-40B4-BE49-F238E27FC236}">
              <a16:creationId xmlns:a16="http://schemas.microsoft.com/office/drawing/2014/main" id="{1F13145B-ED9F-4D74-9090-365A5CD8010C}"/>
            </a:ext>
          </a:extLst>
        </xdr:cNvPr>
        <xdr:cNvGrpSpPr/>
      </xdr:nvGrpSpPr>
      <xdr:grpSpPr>
        <a:xfrm rot="10800000">
          <a:off x="12467974" y="177800"/>
          <a:ext cx="597145" cy="355754"/>
          <a:chOff x="3185180" y="2135611"/>
          <a:chExt cx="648224" cy="602421"/>
        </a:xfrm>
      </xdr:grpSpPr>
      <xdr:sp macro="" textlink="">
        <xdr:nvSpPr>
          <xdr:cNvPr id="23" name="Rectangle 22">
            <a:extLst>
              <a:ext uri="{FF2B5EF4-FFF2-40B4-BE49-F238E27FC236}">
                <a16:creationId xmlns:a16="http://schemas.microsoft.com/office/drawing/2014/main" id="{761ED14F-40E8-6F6A-DC79-0CD66F3D4397}"/>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4" name="Graphic 3" descr="Back with solid fill">
            <a:extLst>
              <a:ext uri="{FF2B5EF4-FFF2-40B4-BE49-F238E27FC236}">
                <a16:creationId xmlns:a16="http://schemas.microsoft.com/office/drawing/2014/main" id="{3FFCEDAF-CB33-7C5C-F231-14CF5AEA3F15}"/>
              </a:ext>
            </a:extLst>
          </xdr:cNvPr>
          <xdr:cNvSpPr/>
        </xdr:nvSpPr>
        <xdr:spPr>
          <a:xfrm flipH="1">
            <a:off x="3207263" y="2194483"/>
            <a:ext cx="626141" cy="483375"/>
          </a:xfrm>
          <a:prstGeom prst="rightArrow">
            <a:avLst>
              <a:gd name="adj1" fmla="val 62251"/>
              <a:gd name="adj2" fmla="val 34815"/>
            </a:avLst>
          </a:prstGeom>
          <a:solidFill>
            <a:schemeClr val="accent1">
              <a:lumMod val="50000"/>
            </a:schemeClr>
          </a:solidFill>
          <a:ln w="9525" cap="flat">
            <a:noFill/>
            <a:prstDash val="solid"/>
            <a:miter/>
          </a:ln>
        </xdr:spPr>
        <xdr:txBody>
          <a:bodyPr rtlCol="0" anchor="ctr"/>
          <a:lstStyle/>
          <a:p>
            <a:endParaRPr lang="en-GH">
              <a:solidFill>
                <a:schemeClr val="bg1"/>
              </a:solidFill>
            </a:endParaRPr>
          </a:p>
        </xdr:txBody>
      </xdr:sp>
      <xdr:sp macro="" textlink="">
        <xdr:nvSpPr>
          <xdr:cNvPr id="25" name="TextBox 24">
            <a:extLst>
              <a:ext uri="{FF2B5EF4-FFF2-40B4-BE49-F238E27FC236}">
                <a16:creationId xmlns:a16="http://schemas.microsoft.com/office/drawing/2014/main" id="{B3BC3CE5-D264-3D96-896A-4D7881A8C542}"/>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Next</a:t>
            </a:r>
          </a:p>
        </xdr:txBody>
      </xdr:sp>
    </xdr:grpSp>
    <xdr:clientData/>
  </xdr:twoCellAnchor>
  <xdr:twoCellAnchor>
    <xdr:from>
      <xdr:col>21</xdr:col>
      <xdr:colOff>151923</xdr:colOff>
      <xdr:row>1</xdr:row>
      <xdr:rowOff>44606</xdr:rowOff>
    </xdr:from>
    <xdr:to>
      <xdr:col>22</xdr:col>
      <xdr:colOff>158429</xdr:colOff>
      <xdr:row>1</xdr:row>
      <xdr:rowOff>296878</xdr:rowOff>
    </xdr:to>
    <xdr:grpSp>
      <xdr:nvGrpSpPr>
        <xdr:cNvPr id="26" name="Group 25">
          <a:hlinkClick xmlns:r="http://schemas.openxmlformats.org/officeDocument/2006/relationships" r:id="rId13" tooltip="Go to Gallery"/>
          <a:extLst>
            <a:ext uri="{FF2B5EF4-FFF2-40B4-BE49-F238E27FC236}">
              <a16:creationId xmlns:a16="http://schemas.microsoft.com/office/drawing/2014/main" id="{08EDA131-31B8-4463-9F56-9EE858289517}"/>
            </a:ext>
          </a:extLst>
        </xdr:cNvPr>
        <xdr:cNvGrpSpPr/>
      </xdr:nvGrpSpPr>
      <xdr:grpSpPr>
        <a:xfrm>
          <a:off x="11118373" y="222406"/>
          <a:ext cx="266856" cy="252272"/>
          <a:chOff x="5270413" y="829190"/>
          <a:chExt cx="251434" cy="252272"/>
        </a:xfrm>
        <a:solidFill>
          <a:schemeClr val="accent1">
            <a:lumMod val="50000"/>
          </a:schemeClr>
        </a:solidFill>
      </xdr:grpSpPr>
      <xdr:sp macro="" textlink="">
        <xdr:nvSpPr>
          <xdr:cNvPr id="27" name="Rectangle 26">
            <a:extLst>
              <a:ext uri="{FF2B5EF4-FFF2-40B4-BE49-F238E27FC236}">
                <a16:creationId xmlns:a16="http://schemas.microsoft.com/office/drawing/2014/main" id="{DB7E0546-38B4-BBF4-1F4F-EEFF07123076}"/>
              </a:ext>
            </a:extLst>
          </xdr:cNvPr>
          <xdr:cNvSpPr/>
        </xdr:nvSpPr>
        <xdr:spPr>
          <a:xfrm>
            <a:off x="5270414"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526168AB-44FB-62D6-27D6-20DEDC85D41D}"/>
              </a:ext>
            </a:extLst>
          </xdr:cNvPr>
          <xdr:cNvSpPr/>
        </xdr:nvSpPr>
        <xdr:spPr>
          <a:xfrm>
            <a:off x="5360130"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54E1EB04-0812-034B-3624-F8B2DC23E50B}"/>
              </a:ext>
            </a:extLst>
          </xdr:cNvPr>
          <xdr:cNvSpPr/>
        </xdr:nvSpPr>
        <xdr:spPr>
          <a:xfrm>
            <a:off x="5449847"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756047BB-9B92-EF52-7567-75F01C7C0FBC}"/>
              </a:ext>
            </a:extLst>
          </xdr:cNvPr>
          <xdr:cNvSpPr/>
        </xdr:nvSpPr>
        <xdr:spPr>
          <a:xfrm>
            <a:off x="5270413"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E204605F-9C0C-F615-7E09-9EB89C232F08}"/>
              </a:ext>
            </a:extLst>
          </xdr:cNvPr>
          <xdr:cNvSpPr/>
        </xdr:nvSpPr>
        <xdr:spPr>
          <a:xfrm>
            <a:off x="5360129"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9C4C6D4D-BB82-B1BB-2D9F-CF6AE0AFBF41}"/>
              </a:ext>
            </a:extLst>
          </xdr:cNvPr>
          <xdr:cNvSpPr/>
        </xdr:nvSpPr>
        <xdr:spPr>
          <a:xfrm>
            <a:off x="5449846"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A86191BF-1E5D-FEAC-246E-B1B1EE3A7AC2}"/>
              </a:ext>
            </a:extLst>
          </xdr:cNvPr>
          <xdr:cNvSpPr/>
        </xdr:nvSpPr>
        <xdr:spPr>
          <a:xfrm>
            <a:off x="5270414"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E410BF22-CBFF-37A1-69FD-A84D8DC0304D}"/>
              </a:ext>
            </a:extLst>
          </xdr:cNvPr>
          <xdr:cNvSpPr/>
        </xdr:nvSpPr>
        <xdr:spPr>
          <a:xfrm>
            <a:off x="5360130"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 name="Rectangle 34">
            <a:extLst>
              <a:ext uri="{FF2B5EF4-FFF2-40B4-BE49-F238E27FC236}">
                <a16:creationId xmlns:a16="http://schemas.microsoft.com/office/drawing/2014/main" id="{AD8345C2-1FAB-65C3-A229-35F5C56E916C}"/>
              </a:ext>
            </a:extLst>
          </xdr:cNvPr>
          <xdr:cNvSpPr/>
        </xdr:nvSpPr>
        <xdr:spPr>
          <a:xfrm>
            <a:off x="5449847"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0</xdr:colOff>
      <xdr:row>12</xdr:row>
      <xdr:rowOff>0</xdr:rowOff>
    </xdr:from>
    <xdr:to>
      <xdr:col>20</xdr:col>
      <xdr:colOff>0</xdr:colOff>
      <xdr:row>22</xdr:row>
      <xdr:rowOff>0</xdr:rowOff>
    </xdr:to>
    <xdr:cxnSp macro="">
      <xdr:nvCxnSpPr>
        <xdr:cNvPr id="47" name="Connector: Elbow 46">
          <a:hlinkClick xmlns:r="http://schemas.openxmlformats.org/officeDocument/2006/relationships" r:id="rId13" tooltip=" "/>
          <a:extLst>
            <a:ext uri="{FF2B5EF4-FFF2-40B4-BE49-F238E27FC236}">
              <a16:creationId xmlns:a16="http://schemas.microsoft.com/office/drawing/2014/main" id="{3C757ADB-C28D-F506-5A45-99452A34541E}"/>
            </a:ext>
          </a:extLst>
        </xdr:cNvPr>
        <xdr:cNvCxnSpPr>
          <a:cxnSpLocks/>
          <a:stCxn id="6" idx="3"/>
          <a:endCxn id="9" idx="1"/>
        </xdr:cNvCxnSpPr>
      </xdr:nvCxnSpPr>
      <xdr:spPr>
        <a:xfrm flipH="1">
          <a:off x="2219325" y="2105025"/>
          <a:ext cx="7981950" cy="1809750"/>
        </a:xfrm>
        <a:prstGeom prst="bentConnector5">
          <a:avLst>
            <a:gd name="adj1" fmla="val -6682"/>
            <a:gd name="adj2" fmla="val 47368"/>
            <a:gd name="adj3" fmla="val 107399"/>
          </a:avLst>
        </a:prstGeom>
        <a:ln w="88900">
          <a:solidFill>
            <a:schemeClr val="bg1">
              <a:lumMod val="95000"/>
              <a:alpha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xdr:row>
      <xdr:rowOff>0</xdr:rowOff>
    </xdr:from>
    <xdr:to>
      <xdr:col>9</xdr:col>
      <xdr:colOff>0</xdr:colOff>
      <xdr:row>12</xdr:row>
      <xdr:rowOff>12700</xdr:rowOff>
    </xdr:to>
    <xdr:cxnSp macro="">
      <xdr:nvCxnSpPr>
        <xdr:cNvPr id="58" name="Connector: Elbow 57">
          <a:hlinkClick xmlns:r="http://schemas.openxmlformats.org/officeDocument/2006/relationships" r:id="rId13" tooltip=" "/>
          <a:extLst>
            <a:ext uri="{FF2B5EF4-FFF2-40B4-BE49-F238E27FC236}">
              <a16:creationId xmlns:a16="http://schemas.microsoft.com/office/drawing/2014/main" id="{FE26D78D-E489-E007-CE29-BDC4535C7D93}"/>
            </a:ext>
          </a:extLst>
        </xdr:cNvPr>
        <xdr:cNvCxnSpPr>
          <a:cxnSpLocks/>
          <a:stCxn id="2" idx="3"/>
          <a:endCxn id="4" idx="1"/>
        </xdr:cNvCxnSpPr>
      </xdr:nvCxnSpPr>
      <xdr:spPr>
        <a:xfrm>
          <a:off x="1971675" y="2105025"/>
          <a:ext cx="2305050" cy="12700"/>
        </a:xfrm>
        <a:prstGeom prst="bentConnector3">
          <a:avLst>
            <a:gd name="adj1" fmla="val 101240"/>
          </a:avLst>
        </a:prstGeom>
        <a:ln w="88900">
          <a:solidFill>
            <a:schemeClr val="bg1">
              <a:lumMod val="95000"/>
              <a:alpha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17</xdr:col>
      <xdr:colOff>0</xdr:colOff>
      <xdr:row>12</xdr:row>
      <xdr:rowOff>12700</xdr:rowOff>
    </xdr:to>
    <xdr:cxnSp macro="">
      <xdr:nvCxnSpPr>
        <xdr:cNvPr id="63" name="Connector: Elbow 62">
          <a:hlinkClick xmlns:r="http://schemas.openxmlformats.org/officeDocument/2006/relationships" r:id="rId13" tooltip=" "/>
          <a:extLst>
            <a:ext uri="{FF2B5EF4-FFF2-40B4-BE49-F238E27FC236}">
              <a16:creationId xmlns:a16="http://schemas.microsoft.com/office/drawing/2014/main" id="{836DC2E7-29B0-CE0B-71C8-A4F0A51F6BBE}"/>
            </a:ext>
          </a:extLst>
        </xdr:cNvPr>
        <xdr:cNvCxnSpPr>
          <a:cxnSpLocks/>
          <a:stCxn id="4" idx="3"/>
          <a:endCxn id="6" idx="1"/>
        </xdr:cNvCxnSpPr>
      </xdr:nvCxnSpPr>
      <xdr:spPr>
        <a:xfrm>
          <a:off x="6086475" y="2105025"/>
          <a:ext cx="2305050" cy="12700"/>
        </a:xfrm>
        <a:prstGeom prst="bentConnector3">
          <a:avLst>
            <a:gd name="adj1" fmla="val 93802"/>
          </a:avLst>
        </a:prstGeom>
        <a:ln w="88900">
          <a:solidFill>
            <a:schemeClr val="bg1">
              <a:lumMod val="95000"/>
              <a:alpha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22</xdr:row>
      <xdr:rowOff>0</xdr:rowOff>
    </xdr:from>
    <xdr:to>
      <xdr:col>13</xdr:col>
      <xdr:colOff>0</xdr:colOff>
      <xdr:row>22</xdr:row>
      <xdr:rowOff>12700</xdr:rowOff>
    </xdr:to>
    <xdr:cxnSp macro="">
      <xdr:nvCxnSpPr>
        <xdr:cNvPr id="68" name="Connector: Elbow 67">
          <a:hlinkClick xmlns:r="http://schemas.openxmlformats.org/officeDocument/2006/relationships" r:id="rId13" tooltip=" "/>
          <a:extLst>
            <a:ext uri="{FF2B5EF4-FFF2-40B4-BE49-F238E27FC236}">
              <a16:creationId xmlns:a16="http://schemas.microsoft.com/office/drawing/2014/main" id="{416E6A6A-FB29-B4A5-1C2B-9610D72D8A87}"/>
            </a:ext>
          </a:extLst>
        </xdr:cNvPr>
        <xdr:cNvCxnSpPr>
          <a:cxnSpLocks/>
          <a:stCxn id="9" idx="3"/>
          <a:endCxn id="11" idx="1"/>
        </xdr:cNvCxnSpPr>
      </xdr:nvCxnSpPr>
      <xdr:spPr>
        <a:xfrm>
          <a:off x="4029075" y="3914775"/>
          <a:ext cx="2305050" cy="12700"/>
        </a:xfrm>
        <a:prstGeom prst="bentConnector3">
          <a:avLst>
            <a:gd name="adj1" fmla="val 91322"/>
          </a:avLst>
        </a:prstGeom>
        <a:ln w="88900">
          <a:solidFill>
            <a:schemeClr val="bg1">
              <a:lumMod val="95000"/>
              <a:alpha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581027</xdr:colOff>
      <xdr:row>16</xdr:row>
      <xdr:rowOff>123825</xdr:rowOff>
    </xdr:from>
    <xdr:to>
      <xdr:col>18</xdr:col>
      <xdr:colOff>200025</xdr:colOff>
      <xdr:row>16</xdr:row>
      <xdr:rowOff>136523</xdr:rowOff>
    </xdr:to>
    <xdr:cxnSp macro="">
      <xdr:nvCxnSpPr>
        <xdr:cNvPr id="74" name="Connector: Elbow 73">
          <a:hlinkClick xmlns:r="http://schemas.openxmlformats.org/officeDocument/2006/relationships" r:id="rId13" tooltip=" "/>
          <a:extLst>
            <a:ext uri="{FF2B5EF4-FFF2-40B4-BE49-F238E27FC236}">
              <a16:creationId xmlns:a16="http://schemas.microsoft.com/office/drawing/2014/main" id="{B087AE84-E0BD-28EE-7D3E-BD425A740592}"/>
            </a:ext>
          </a:extLst>
        </xdr:cNvPr>
        <xdr:cNvCxnSpPr>
          <a:cxnSpLocks/>
        </xdr:cNvCxnSpPr>
      </xdr:nvCxnSpPr>
      <xdr:spPr>
        <a:xfrm rot="10800000" flipV="1">
          <a:off x="7943852" y="2952750"/>
          <a:ext cx="895348" cy="12698"/>
        </a:xfrm>
        <a:prstGeom prst="bentConnector3">
          <a:avLst>
            <a:gd name="adj1" fmla="val 70213"/>
          </a:avLst>
        </a:prstGeom>
        <a:ln w="85725">
          <a:solidFill>
            <a:schemeClr val="bg1">
              <a:lumMod val="95000"/>
              <a:alpha val="3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400052</xdr:colOff>
      <xdr:row>16</xdr:row>
      <xdr:rowOff>123825</xdr:rowOff>
    </xdr:from>
    <xdr:to>
      <xdr:col>10</xdr:col>
      <xdr:colOff>19050</xdr:colOff>
      <xdr:row>16</xdr:row>
      <xdr:rowOff>136523</xdr:rowOff>
    </xdr:to>
    <xdr:cxnSp macro="">
      <xdr:nvCxnSpPr>
        <xdr:cNvPr id="79" name="Connector: Elbow 78">
          <a:hlinkClick xmlns:r="http://schemas.openxmlformats.org/officeDocument/2006/relationships" r:id="rId13" tooltip=" "/>
          <a:extLst>
            <a:ext uri="{FF2B5EF4-FFF2-40B4-BE49-F238E27FC236}">
              <a16:creationId xmlns:a16="http://schemas.microsoft.com/office/drawing/2014/main" id="{0EB804E9-E543-47C4-AD48-0874618E1518}"/>
            </a:ext>
          </a:extLst>
        </xdr:cNvPr>
        <xdr:cNvCxnSpPr>
          <a:cxnSpLocks/>
        </xdr:cNvCxnSpPr>
      </xdr:nvCxnSpPr>
      <xdr:spPr>
        <a:xfrm rot="10800000" flipV="1">
          <a:off x="3648077" y="2952750"/>
          <a:ext cx="895348" cy="12698"/>
        </a:xfrm>
        <a:prstGeom prst="bentConnector3">
          <a:avLst>
            <a:gd name="adj1" fmla="val 70213"/>
          </a:avLst>
        </a:prstGeom>
        <a:ln w="85725">
          <a:solidFill>
            <a:schemeClr val="bg1">
              <a:lumMod val="95000"/>
              <a:alpha val="3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2" name="Picture 21">
          <a:extLst>
            <a:ext uri="{FF2B5EF4-FFF2-40B4-BE49-F238E27FC236}">
              <a16:creationId xmlns:a16="http://schemas.microsoft.com/office/drawing/2014/main" id="{B749001B-B393-45E9-A917-E0692BF1C2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219075"/>
          <a:ext cx="361950" cy="361950"/>
        </a:xfrm>
        <a:prstGeom prst="rect">
          <a:avLst/>
        </a:prstGeom>
      </xdr:spPr>
    </xdr:pic>
    <xdr:clientData/>
  </xdr:oneCellAnchor>
  <xdr:twoCellAnchor editAs="absolute">
    <xdr:from>
      <xdr:col>11</xdr:col>
      <xdr:colOff>0</xdr:colOff>
      <xdr:row>1</xdr:row>
      <xdr:rowOff>133352</xdr:rowOff>
    </xdr:from>
    <xdr:to>
      <xdr:col>12</xdr:col>
      <xdr:colOff>800094</xdr:colOff>
      <xdr:row>3</xdr:row>
      <xdr:rowOff>47852</xdr:rowOff>
    </xdr:to>
    <xdr:grpSp>
      <xdr:nvGrpSpPr>
        <xdr:cNvPr id="23" name="Group 22">
          <a:hlinkClick xmlns:r="http://schemas.openxmlformats.org/officeDocument/2006/relationships" r:id="rId2" tooltip="Go to Cover page"/>
          <a:extLst>
            <a:ext uri="{FF2B5EF4-FFF2-40B4-BE49-F238E27FC236}">
              <a16:creationId xmlns:a16="http://schemas.microsoft.com/office/drawing/2014/main" id="{A528BF5A-2E1F-4F79-8A56-4A096C3281BA}"/>
            </a:ext>
          </a:extLst>
        </xdr:cNvPr>
        <xdr:cNvGrpSpPr/>
      </xdr:nvGrpSpPr>
      <xdr:grpSpPr>
        <a:xfrm>
          <a:off x="9868525" y="341549"/>
          <a:ext cx="956241" cy="330893"/>
          <a:chOff x="3615235" y="2135609"/>
          <a:chExt cx="1011478" cy="463990"/>
        </a:xfrm>
      </xdr:grpSpPr>
      <xdr:sp macro="" textlink="">
        <xdr:nvSpPr>
          <xdr:cNvPr id="24" name="Rectangle 23">
            <a:extLst>
              <a:ext uri="{FF2B5EF4-FFF2-40B4-BE49-F238E27FC236}">
                <a16:creationId xmlns:a16="http://schemas.microsoft.com/office/drawing/2014/main" id="{4A0C9411-974D-C408-4EAC-B05D142310A9}"/>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5" name="Graphic 3" descr="Back with solid fill">
            <a:extLst>
              <a:ext uri="{FF2B5EF4-FFF2-40B4-BE49-F238E27FC236}">
                <a16:creationId xmlns:a16="http://schemas.microsoft.com/office/drawing/2014/main" id="{0645D17F-EF34-1E2F-26B3-FB05FE4F6511}"/>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26" name="TextBox 25">
            <a:extLst>
              <a:ext uri="{FF2B5EF4-FFF2-40B4-BE49-F238E27FC236}">
                <a16:creationId xmlns:a16="http://schemas.microsoft.com/office/drawing/2014/main" id="{A6B805CA-6A57-3DD7-C62C-F9986B13DA5D}"/>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13</xdr:col>
      <xdr:colOff>100808</xdr:colOff>
      <xdr:row>1</xdr:row>
      <xdr:rowOff>85727</xdr:rowOff>
    </xdr:from>
    <xdr:to>
      <xdr:col>13</xdr:col>
      <xdr:colOff>689194</xdr:colOff>
      <xdr:row>3</xdr:row>
      <xdr:rowOff>82706</xdr:rowOff>
    </xdr:to>
    <xdr:grpSp>
      <xdr:nvGrpSpPr>
        <xdr:cNvPr id="27" name="Group 26">
          <a:hlinkClick xmlns:r="http://schemas.openxmlformats.org/officeDocument/2006/relationships" r:id="rId3" tooltip="Go to Previous page"/>
          <a:extLst>
            <a:ext uri="{FF2B5EF4-FFF2-40B4-BE49-F238E27FC236}">
              <a16:creationId xmlns:a16="http://schemas.microsoft.com/office/drawing/2014/main" id="{1746ADAF-7A97-4305-B1B1-C86AE76D803F}"/>
            </a:ext>
          </a:extLst>
        </xdr:cNvPr>
        <xdr:cNvGrpSpPr/>
      </xdr:nvGrpSpPr>
      <xdr:grpSpPr>
        <a:xfrm>
          <a:off x="11603677" y="293924"/>
          <a:ext cx="588386" cy="413372"/>
          <a:chOff x="3207261" y="2135607"/>
          <a:chExt cx="689910" cy="602421"/>
        </a:xfrm>
      </xdr:grpSpPr>
      <xdr:sp macro="" textlink="">
        <xdr:nvSpPr>
          <xdr:cNvPr id="28" name="Rectangle 27">
            <a:extLst>
              <a:ext uri="{FF2B5EF4-FFF2-40B4-BE49-F238E27FC236}">
                <a16:creationId xmlns:a16="http://schemas.microsoft.com/office/drawing/2014/main" id="{11F01D8C-00BC-B3DD-70BF-29B489A7AA4D}"/>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9" name="Graphic 3" descr="Back with solid fill">
            <a:extLst>
              <a:ext uri="{FF2B5EF4-FFF2-40B4-BE49-F238E27FC236}">
                <a16:creationId xmlns:a16="http://schemas.microsoft.com/office/drawing/2014/main" id="{37907B13-0B9B-AEE7-4339-FF106C21B230}"/>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0" name="TextBox 29">
            <a:extLst>
              <a:ext uri="{FF2B5EF4-FFF2-40B4-BE49-F238E27FC236}">
                <a16:creationId xmlns:a16="http://schemas.microsoft.com/office/drawing/2014/main" id="{E8DFDA18-234A-3A7C-40E7-0929D68448AA}"/>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13</xdr:col>
      <xdr:colOff>917324</xdr:colOff>
      <xdr:row>1</xdr:row>
      <xdr:rowOff>85725</xdr:rowOff>
    </xdr:from>
    <xdr:to>
      <xdr:col>13</xdr:col>
      <xdr:colOff>1476369</xdr:colOff>
      <xdr:row>3</xdr:row>
      <xdr:rowOff>82704</xdr:rowOff>
    </xdr:to>
    <xdr:grpSp>
      <xdr:nvGrpSpPr>
        <xdr:cNvPr id="31" name="Group 30">
          <a:hlinkClick xmlns:r="http://schemas.openxmlformats.org/officeDocument/2006/relationships" r:id="rId4" tooltip="Go to Next page"/>
          <a:extLst>
            <a:ext uri="{FF2B5EF4-FFF2-40B4-BE49-F238E27FC236}">
              <a16:creationId xmlns:a16="http://schemas.microsoft.com/office/drawing/2014/main" id="{3FFCFC03-D6E0-4DE5-903B-EE3010353C23}"/>
            </a:ext>
          </a:extLst>
        </xdr:cNvPr>
        <xdr:cNvGrpSpPr/>
      </xdr:nvGrpSpPr>
      <xdr:grpSpPr>
        <a:xfrm rot="10800000">
          <a:off x="12420193" y="293922"/>
          <a:ext cx="559045" cy="413372"/>
          <a:chOff x="3185180" y="2135611"/>
          <a:chExt cx="648224" cy="602421"/>
        </a:xfrm>
      </xdr:grpSpPr>
      <xdr:sp macro="" textlink="">
        <xdr:nvSpPr>
          <xdr:cNvPr id="32" name="Rectangle 31">
            <a:extLst>
              <a:ext uri="{FF2B5EF4-FFF2-40B4-BE49-F238E27FC236}">
                <a16:creationId xmlns:a16="http://schemas.microsoft.com/office/drawing/2014/main" id="{C6075AF2-2478-FBD5-F14A-A7FBB47F4F3E}"/>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3" name="Graphic 3" descr="Back with solid fill">
            <a:extLst>
              <a:ext uri="{FF2B5EF4-FFF2-40B4-BE49-F238E27FC236}">
                <a16:creationId xmlns:a16="http://schemas.microsoft.com/office/drawing/2014/main" id="{B52866D7-FC7E-BB7E-9F16-14EEB105363C}"/>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4" name="TextBox 33">
            <a:extLst>
              <a:ext uri="{FF2B5EF4-FFF2-40B4-BE49-F238E27FC236}">
                <a16:creationId xmlns:a16="http://schemas.microsoft.com/office/drawing/2014/main" id="{C7E32A38-8427-94A3-9643-97DACDC63995}"/>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12</xdr:col>
      <xdr:colOff>1028223</xdr:colOff>
      <xdr:row>1</xdr:row>
      <xdr:rowOff>130331</xdr:rowOff>
    </xdr:from>
    <xdr:to>
      <xdr:col>12</xdr:col>
      <xdr:colOff>1282379</xdr:colOff>
      <xdr:row>3</xdr:row>
      <xdr:rowOff>20653</xdr:rowOff>
    </xdr:to>
    <xdr:grpSp>
      <xdr:nvGrpSpPr>
        <xdr:cNvPr id="35" name="Group 34">
          <a:hlinkClick xmlns:r="http://schemas.openxmlformats.org/officeDocument/2006/relationships" r:id="rId3" tooltip="Go to Gallery"/>
          <a:extLst>
            <a:ext uri="{FF2B5EF4-FFF2-40B4-BE49-F238E27FC236}">
              <a16:creationId xmlns:a16="http://schemas.microsoft.com/office/drawing/2014/main" id="{D43CC2A5-8B15-4809-AB78-E0D55A157546}"/>
            </a:ext>
          </a:extLst>
        </xdr:cNvPr>
        <xdr:cNvGrpSpPr/>
      </xdr:nvGrpSpPr>
      <xdr:grpSpPr>
        <a:xfrm>
          <a:off x="11052895" y="338528"/>
          <a:ext cx="254156" cy="306715"/>
          <a:chOff x="5270413" y="829190"/>
          <a:chExt cx="251434" cy="252272"/>
        </a:xfrm>
      </xdr:grpSpPr>
      <xdr:sp macro="" textlink="">
        <xdr:nvSpPr>
          <xdr:cNvPr id="36" name="Rectangle 35">
            <a:extLst>
              <a:ext uri="{FF2B5EF4-FFF2-40B4-BE49-F238E27FC236}">
                <a16:creationId xmlns:a16="http://schemas.microsoft.com/office/drawing/2014/main" id="{86D828F3-B149-13D6-B94A-B437C898F819}"/>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 name="Rectangle 36">
            <a:extLst>
              <a:ext uri="{FF2B5EF4-FFF2-40B4-BE49-F238E27FC236}">
                <a16:creationId xmlns:a16="http://schemas.microsoft.com/office/drawing/2014/main" id="{36F87202-2850-922B-3983-14A34D2E796F}"/>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8" name="Rectangle 37">
            <a:extLst>
              <a:ext uri="{FF2B5EF4-FFF2-40B4-BE49-F238E27FC236}">
                <a16:creationId xmlns:a16="http://schemas.microsoft.com/office/drawing/2014/main" id="{157A18EC-4F1F-3153-1EB9-5E17B4D4EB43}"/>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Rectangle 38">
            <a:extLst>
              <a:ext uri="{FF2B5EF4-FFF2-40B4-BE49-F238E27FC236}">
                <a16:creationId xmlns:a16="http://schemas.microsoft.com/office/drawing/2014/main" id="{A59215CF-BD02-02BB-71EA-12B1438AA2AB}"/>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0" name="Rectangle 39">
            <a:extLst>
              <a:ext uri="{FF2B5EF4-FFF2-40B4-BE49-F238E27FC236}">
                <a16:creationId xmlns:a16="http://schemas.microsoft.com/office/drawing/2014/main" id="{5674C3CD-220E-CC27-040C-6A036CA3BB6F}"/>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 name="Rectangle 40">
            <a:extLst>
              <a:ext uri="{FF2B5EF4-FFF2-40B4-BE49-F238E27FC236}">
                <a16:creationId xmlns:a16="http://schemas.microsoft.com/office/drawing/2014/main" id="{817506B2-AE3F-C26C-BB16-C570DA801E96}"/>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Rectangle 41">
            <a:extLst>
              <a:ext uri="{FF2B5EF4-FFF2-40B4-BE49-F238E27FC236}">
                <a16:creationId xmlns:a16="http://schemas.microsoft.com/office/drawing/2014/main" id="{A780DA15-54E0-2A17-339F-AABE5B16CD59}"/>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3" name="Rectangle 42">
            <a:extLst>
              <a:ext uri="{FF2B5EF4-FFF2-40B4-BE49-F238E27FC236}">
                <a16:creationId xmlns:a16="http://schemas.microsoft.com/office/drawing/2014/main" id="{BAE3F83C-6C55-21BC-BCB0-A585FF964E80}"/>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4" name="Rectangle 43">
            <a:extLst>
              <a:ext uri="{FF2B5EF4-FFF2-40B4-BE49-F238E27FC236}">
                <a16:creationId xmlns:a16="http://schemas.microsoft.com/office/drawing/2014/main" id="{67FDF2B5-47CD-A483-BB2A-0A8D8E3463B1}"/>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723900</xdr:colOff>
      <xdr:row>4</xdr:row>
      <xdr:rowOff>0</xdr:rowOff>
    </xdr:to>
    <xdr:sp macro="" textlink="">
      <xdr:nvSpPr>
        <xdr:cNvPr id="2" name="Rectangle 1">
          <a:hlinkClick xmlns:r="http://schemas.openxmlformats.org/officeDocument/2006/relationships" r:id="rId5" tooltip="Visit our website"/>
          <a:extLst>
            <a:ext uri="{FF2B5EF4-FFF2-40B4-BE49-F238E27FC236}">
              <a16:creationId xmlns:a16="http://schemas.microsoft.com/office/drawing/2014/main" id="{8D531C54-DF78-4230-ABE4-7699CC681842}"/>
            </a:ext>
          </a:extLst>
        </xdr:cNvPr>
        <xdr:cNvSpPr/>
      </xdr:nvSpPr>
      <xdr:spPr>
        <a:xfrm>
          <a:off x="18097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9</xdr:col>
      <xdr:colOff>266700</xdr:colOff>
      <xdr:row>6</xdr:row>
      <xdr:rowOff>76199</xdr:rowOff>
    </xdr:from>
    <xdr:to>
      <xdr:col>17</xdr:col>
      <xdr:colOff>161925</xdr:colOff>
      <xdr:row>12</xdr:row>
      <xdr:rowOff>38100</xdr:rowOff>
    </xdr:to>
    <xdr:grpSp>
      <xdr:nvGrpSpPr>
        <xdr:cNvPr id="13" name="Group 12">
          <a:extLst>
            <a:ext uri="{FF2B5EF4-FFF2-40B4-BE49-F238E27FC236}">
              <a16:creationId xmlns:a16="http://schemas.microsoft.com/office/drawing/2014/main" id="{51501EC3-DE19-BD78-A53E-6444B77B7166}"/>
            </a:ext>
          </a:extLst>
        </xdr:cNvPr>
        <xdr:cNvGrpSpPr/>
      </xdr:nvGrpSpPr>
      <xdr:grpSpPr>
        <a:xfrm>
          <a:off x="7169232" y="1313212"/>
          <a:ext cx="6072044" cy="935018"/>
          <a:chOff x="6848475" y="1028699"/>
          <a:chExt cx="5686425" cy="838201"/>
        </a:xfrm>
      </xdr:grpSpPr>
      <xdr:sp macro="" textlink="">
        <xdr:nvSpPr>
          <xdr:cNvPr id="8" name="Rectangle: Rounded Corners 7">
            <a:extLst>
              <a:ext uri="{FF2B5EF4-FFF2-40B4-BE49-F238E27FC236}">
                <a16:creationId xmlns:a16="http://schemas.microsoft.com/office/drawing/2014/main" id="{851B6815-F148-3BFF-CB46-677BC99074B6}"/>
              </a:ext>
            </a:extLst>
          </xdr:cNvPr>
          <xdr:cNvSpPr/>
        </xdr:nvSpPr>
        <xdr:spPr>
          <a:xfrm>
            <a:off x="6848475" y="1028699"/>
            <a:ext cx="5686425" cy="838201"/>
          </a:xfrm>
          <a:prstGeom prst="roundRect">
            <a:avLst>
              <a:gd name="adj" fmla="val 9140"/>
            </a:avLst>
          </a:prstGeom>
          <a:solidFill>
            <a:srgbClr val="193E6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5" name="Group 4">
            <a:hlinkClick xmlns:r="http://schemas.openxmlformats.org/officeDocument/2006/relationships" r:id="rId1" tooltip="Subscribe to our YouTube Channel"/>
            <a:extLst>
              <a:ext uri="{FF2B5EF4-FFF2-40B4-BE49-F238E27FC236}">
                <a16:creationId xmlns:a16="http://schemas.microsoft.com/office/drawing/2014/main" id="{B4315DA2-3955-48D2-A2D2-C9BFE66C2CB0}"/>
              </a:ext>
            </a:extLst>
          </xdr:cNvPr>
          <xdr:cNvGrpSpPr/>
        </xdr:nvGrpSpPr>
        <xdr:grpSpPr>
          <a:xfrm>
            <a:off x="6877050" y="1066800"/>
            <a:ext cx="5627059" cy="761999"/>
            <a:chOff x="6917366" y="123825"/>
            <a:chExt cx="5627059" cy="761999"/>
          </a:xfrm>
        </xdr:grpSpPr>
        <xdr:pic>
          <xdr:nvPicPr>
            <xdr:cNvPr id="6" name="Picture 5">
              <a:extLst>
                <a:ext uri="{FF2B5EF4-FFF2-40B4-BE49-F238E27FC236}">
                  <a16:creationId xmlns:a16="http://schemas.microsoft.com/office/drawing/2014/main" id="{52A0D516-45DD-D943-D528-DC7A1CFA5E94}"/>
                </a:ext>
              </a:extLst>
            </xdr:cNvPr>
            <xdr:cNvPicPr>
              <a:picLocks noChangeAspect="1"/>
            </xdr:cNvPicPr>
          </xdr:nvPicPr>
          <xdr:blipFill>
            <a:blip xmlns:r="http://schemas.openxmlformats.org/officeDocument/2006/relationships" r:embed="rId2"/>
            <a:stretch>
              <a:fillRect/>
            </a:stretch>
          </xdr:blipFill>
          <xdr:spPr>
            <a:xfrm>
              <a:off x="6917366" y="123825"/>
              <a:ext cx="5627059" cy="761999"/>
            </a:xfrm>
            <a:prstGeom prst="roundRect">
              <a:avLst>
                <a:gd name="adj" fmla="val 9167"/>
              </a:avLst>
            </a:prstGeom>
          </xdr:spPr>
        </xdr:pic>
        <xdr:pic>
          <xdr:nvPicPr>
            <xdr:cNvPr id="7" name="Picture 6">
              <a:hlinkClick xmlns:r="http://schemas.openxmlformats.org/officeDocument/2006/relationships" r:id="rId3" tooltip="Subscribe to our YouTube Channel"/>
              <a:extLst>
                <a:ext uri="{FF2B5EF4-FFF2-40B4-BE49-F238E27FC236}">
                  <a16:creationId xmlns:a16="http://schemas.microsoft.com/office/drawing/2014/main" id="{8952A34F-8CAC-386C-18FC-57504C8BAC81}"/>
                </a:ext>
              </a:extLst>
            </xdr:cNvPr>
            <xdr:cNvPicPr>
              <a:picLocks noChangeAspect="1"/>
            </xdr:cNvPicPr>
          </xdr:nvPicPr>
          <xdr:blipFill>
            <a:blip xmlns:r="http://schemas.openxmlformats.org/officeDocument/2006/relationships" r:embed="rId4"/>
            <a:stretch>
              <a:fillRect/>
            </a:stretch>
          </xdr:blipFill>
          <xdr:spPr>
            <a:xfrm>
              <a:off x="11229975" y="200025"/>
              <a:ext cx="1000000" cy="323810"/>
            </a:xfrm>
            <a:prstGeom prst="roundRect">
              <a:avLst>
                <a:gd name="adj" fmla="val 25491"/>
              </a:avLst>
            </a:prstGeom>
          </xdr:spPr>
        </xdr:pic>
      </xdr:grpSp>
    </xdr:grpSp>
    <xdr:clientData/>
  </xdr:twoCellAnchor>
  <xdr:twoCellAnchor>
    <xdr:from>
      <xdr:col>15</xdr:col>
      <xdr:colOff>689659</xdr:colOff>
      <xdr:row>5</xdr:row>
      <xdr:rowOff>17205</xdr:rowOff>
    </xdr:from>
    <xdr:to>
      <xdr:col>16</xdr:col>
      <xdr:colOff>257177</xdr:colOff>
      <xdr:row>7</xdr:row>
      <xdr:rowOff>171453</xdr:rowOff>
    </xdr:to>
    <xdr:sp macro="" textlink="">
      <xdr:nvSpPr>
        <xdr:cNvPr id="12" name="Graphic 10" descr="Right pointing backhand index with solid fill">
          <a:extLst>
            <a:ext uri="{FF2B5EF4-FFF2-40B4-BE49-F238E27FC236}">
              <a16:creationId xmlns:a16="http://schemas.microsoft.com/office/drawing/2014/main" id="{44EA2B0F-9F1C-0A9A-713F-7C05A41208AB}"/>
            </a:ext>
          </a:extLst>
        </xdr:cNvPr>
        <xdr:cNvSpPr/>
      </xdr:nvSpPr>
      <xdr:spPr>
        <a:xfrm rot="5400000">
          <a:off x="11554831" y="982083"/>
          <a:ext cx="411423" cy="291418"/>
        </a:xfrm>
        <a:custGeom>
          <a:avLst/>
          <a:gdLst>
            <a:gd name="connsiteX0" fmla="*/ 368400 w 391716"/>
            <a:gd name="connsiteY0" fmla="*/ 55735 h 222697"/>
            <a:gd name="connsiteX1" fmla="*/ 137567 w 391716"/>
            <a:gd name="connsiteY1" fmla="*/ 55735 h 222697"/>
            <a:gd name="connsiteX2" fmla="*/ 223838 w 391716"/>
            <a:gd name="connsiteY2" fmla="*/ 39437 h 222697"/>
            <a:gd name="connsiteX3" fmla="*/ 241559 w 391716"/>
            <a:gd name="connsiteY3" fmla="*/ 15585 h 222697"/>
            <a:gd name="connsiteX4" fmla="*/ 213579 w 391716"/>
            <a:gd name="connsiteY4" fmla="*/ 479 h 222697"/>
            <a:gd name="connsiteX5" fmla="*/ 87670 w 391716"/>
            <a:gd name="connsiteY5" fmla="*/ 24331 h 222697"/>
            <a:gd name="connsiteX6" fmla="*/ 74613 w 391716"/>
            <a:gd name="connsiteY6" fmla="*/ 31884 h 222697"/>
            <a:gd name="connsiteX7" fmla="*/ 34975 w 391716"/>
            <a:gd name="connsiteY7" fmla="*/ 75612 h 222697"/>
            <a:gd name="connsiteX8" fmla="*/ 0 w 391716"/>
            <a:gd name="connsiteY8" fmla="*/ 75612 h 222697"/>
            <a:gd name="connsiteX9" fmla="*/ 0 w 391716"/>
            <a:gd name="connsiteY9" fmla="*/ 190895 h 222697"/>
            <a:gd name="connsiteX10" fmla="*/ 23316 w 391716"/>
            <a:gd name="connsiteY10" fmla="*/ 190895 h 222697"/>
            <a:gd name="connsiteX11" fmla="*/ 121246 w 391716"/>
            <a:gd name="connsiteY11" fmla="*/ 222697 h 222697"/>
            <a:gd name="connsiteX12" fmla="*/ 205185 w 391716"/>
            <a:gd name="connsiteY12" fmla="*/ 222697 h 222697"/>
            <a:gd name="connsiteX13" fmla="*/ 233165 w 391716"/>
            <a:gd name="connsiteY13" fmla="*/ 198845 h 222697"/>
            <a:gd name="connsiteX14" fmla="*/ 225703 w 391716"/>
            <a:gd name="connsiteY14" fmla="*/ 182944 h 222697"/>
            <a:gd name="connsiteX15" fmla="*/ 228501 w 391716"/>
            <a:gd name="connsiteY15" fmla="*/ 182944 h 222697"/>
            <a:gd name="connsiteX16" fmla="*/ 256481 w 391716"/>
            <a:gd name="connsiteY16" fmla="*/ 159093 h 222697"/>
            <a:gd name="connsiteX17" fmla="*/ 248553 w 391716"/>
            <a:gd name="connsiteY17" fmla="*/ 142396 h 222697"/>
            <a:gd name="connsiteX18" fmla="*/ 270471 w 391716"/>
            <a:gd name="connsiteY18" fmla="*/ 119340 h 222697"/>
            <a:gd name="connsiteX19" fmla="*/ 242491 w 391716"/>
            <a:gd name="connsiteY19" fmla="*/ 95488 h 222697"/>
            <a:gd name="connsiteX20" fmla="*/ 368400 w 391716"/>
            <a:gd name="connsiteY20" fmla="*/ 95488 h 222697"/>
            <a:gd name="connsiteX21" fmla="*/ 391717 w 391716"/>
            <a:gd name="connsiteY21" fmla="*/ 75612 h 222697"/>
            <a:gd name="connsiteX22" fmla="*/ 368400 w 391716"/>
            <a:gd name="connsiteY22" fmla="*/ 55735 h 2226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91716" h="222697">
              <a:moveTo>
                <a:pt x="368400" y="55735"/>
              </a:moveTo>
              <a:lnTo>
                <a:pt x="137567" y="55735"/>
              </a:lnTo>
              <a:lnTo>
                <a:pt x="223838" y="39437"/>
              </a:lnTo>
              <a:cubicBezTo>
                <a:pt x="236429" y="37051"/>
                <a:pt x="244356" y="26318"/>
                <a:pt x="241559" y="15585"/>
              </a:cubicBezTo>
              <a:cubicBezTo>
                <a:pt x="238761" y="4852"/>
                <a:pt x="226170" y="-1906"/>
                <a:pt x="213579" y="479"/>
              </a:cubicBezTo>
              <a:lnTo>
                <a:pt x="87670" y="24331"/>
              </a:lnTo>
              <a:cubicBezTo>
                <a:pt x="83007" y="25523"/>
                <a:pt x="78343" y="27908"/>
                <a:pt x="74613" y="31884"/>
              </a:cubicBezTo>
              <a:lnTo>
                <a:pt x="34975" y="75612"/>
              </a:lnTo>
              <a:lnTo>
                <a:pt x="0" y="75612"/>
              </a:lnTo>
              <a:lnTo>
                <a:pt x="0" y="190895"/>
              </a:lnTo>
              <a:lnTo>
                <a:pt x="23316" y="190895"/>
              </a:lnTo>
              <a:cubicBezTo>
                <a:pt x="56426" y="190895"/>
                <a:pt x="58757" y="222697"/>
                <a:pt x="121246" y="222697"/>
              </a:cubicBezTo>
              <a:cubicBezTo>
                <a:pt x="136168" y="222697"/>
                <a:pt x="185599" y="222697"/>
                <a:pt x="205185" y="222697"/>
              </a:cubicBezTo>
              <a:cubicBezTo>
                <a:pt x="220574" y="222697"/>
                <a:pt x="233165" y="211964"/>
                <a:pt x="233165" y="198845"/>
              </a:cubicBezTo>
              <a:cubicBezTo>
                <a:pt x="233165" y="192485"/>
                <a:pt x="230367" y="186920"/>
                <a:pt x="225703" y="182944"/>
              </a:cubicBezTo>
              <a:cubicBezTo>
                <a:pt x="226636" y="182944"/>
                <a:pt x="227569" y="182944"/>
                <a:pt x="228501" y="182944"/>
              </a:cubicBezTo>
              <a:cubicBezTo>
                <a:pt x="243890" y="182944"/>
                <a:pt x="256481" y="172211"/>
                <a:pt x="256481" y="159093"/>
              </a:cubicBezTo>
              <a:cubicBezTo>
                <a:pt x="256481" y="152732"/>
                <a:pt x="253683" y="146769"/>
                <a:pt x="248553" y="142396"/>
              </a:cubicBezTo>
              <a:cubicBezTo>
                <a:pt x="261144" y="140011"/>
                <a:pt x="270471" y="130471"/>
                <a:pt x="270471" y="119340"/>
              </a:cubicBezTo>
              <a:cubicBezTo>
                <a:pt x="270471" y="106221"/>
                <a:pt x="257880" y="95488"/>
                <a:pt x="242491" y="95488"/>
              </a:cubicBezTo>
              <a:lnTo>
                <a:pt x="368400" y="95488"/>
              </a:lnTo>
              <a:cubicBezTo>
                <a:pt x="381457" y="95488"/>
                <a:pt x="391717" y="86742"/>
                <a:pt x="391717" y="75612"/>
              </a:cubicBezTo>
              <a:cubicBezTo>
                <a:pt x="391717" y="64481"/>
                <a:pt x="381457" y="55735"/>
                <a:pt x="368400" y="55735"/>
              </a:cubicBezTo>
              <a:close/>
            </a:path>
          </a:pathLst>
        </a:custGeom>
        <a:solidFill>
          <a:schemeClr val="tx1"/>
        </a:solidFill>
        <a:ln w="4663" cap="flat">
          <a:noFill/>
          <a:prstDash val="solid"/>
          <a:miter/>
        </a:ln>
      </xdr:spPr>
      <xdr:txBody>
        <a:bodyPr rtlCol="0" anchor="ctr"/>
        <a:lstStyle/>
        <a:p>
          <a:endParaRPr lang="en-GB"/>
        </a:p>
      </xdr:txBody>
    </xdr:sp>
    <xdr:clientData/>
  </xdr:twoCellAnchor>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3BD98BBC-0E57-41C7-A59F-1EA2C1A3382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0500" y="219075"/>
          <a:ext cx="361950" cy="361950"/>
        </a:xfrm>
        <a:prstGeom prst="rect">
          <a:avLst/>
        </a:prstGeom>
      </xdr:spPr>
    </xdr:pic>
    <xdr:clientData/>
  </xdr:oneCellAnchor>
  <xdr:twoCellAnchor editAs="absolute">
    <xdr:from>
      <xdr:col>12</xdr:col>
      <xdr:colOff>540492</xdr:colOff>
      <xdr:row>1</xdr:row>
      <xdr:rowOff>152402</xdr:rowOff>
    </xdr:from>
    <xdr:to>
      <xdr:col>14</xdr:col>
      <xdr:colOff>45186</xdr:colOff>
      <xdr:row>3</xdr:row>
      <xdr:rowOff>66902</xdr:rowOff>
    </xdr:to>
    <xdr:grpSp>
      <xdr:nvGrpSpPr>
        <xdr:cNvPr id="3" name="Group 2">
          <a:hlinkClick xmlns:r="http://schemas.openxmlformats.org/officeDocument/2006/relationships" r:id="rId6" tooltip="Go to Cover page"/>
          <a:extLst>
            <a:ext uri="{FF2B5EF4-FFF2-40B4-BE49-F238E27FC236}">
              <a16:creationId xmlns:a16="http://schemas.microsoft.com/office/drawing/2014/main" id="{CBEE109E-98E8-4BF1-B1DA-58C52C5F17A3}"/>
            </a:ext>
          </a:extLst>
        </xdr:cNvPr>
        <xdr:cNvGrpSpPr/>
      </xdr:nvGrpSpPr>
      <xdr:grpSpPr>
        <a:xfrm>
          <a:off x="9826336" y="358571"/>
          <a:ext cx="1022097" cy="326837"/>
          <a:chOff x="3615235" y="2135609"/>
          <a:chExt cx="1011478" cy="463990"/>
        </a:xfrm>
      </xdr:grpSpPr>
      <xdr:sp macro="" textlink="">
        <xdr:nvSpPr>
          <xdr:cNvPr id="4" name="Rectangle 3">
            <a:extLst>
              <a:ext uri="{FF2B5EF4-FFF2-40B4-BE49-F238E27FC236}">
                <a16:creationId xmlns:a16="http://schemas.microsoft.com/office/drawing/2014/main" id="{48FDFA26-8E19-423E-3E0E-8A30BD438585}"/>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B368E9B1-DAC7-F302-7DA5-1CBC6ECB6D11}"/>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974FD738-5C3B-C3E0-7194-68A8834A3FD6}"/>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15</xdr:col>
      <xdr:colOff>138908</xdr:colOff>
      <xdr:row>1</xdr:row>
      <xdr:rowOff>104777</xdr:rowOff>
    </xdr:from>
    <xdr:to>
      <xdr:col>16</xdr:col>
      <xdr:colOff>3394</xdr:colOff>
      <xdr:row>3</xdr:row>
      <xdr:rowOff>101756</xdr:rowOff>
    </xdr:to>
    <xdr:grpSp>
      <xdr:nvGrpSpPr>
        <xdr:cNvPr id="11" name="Group 10">
          <a:hlinkClick xmlns:r="http://schemas.openxmlformats.org/officeDocument/2006/relationships" r:id="rId7" tooltip="Go to Previous page"/>
          <a:extLst>
            <a:ext uri="{FF2B5EF4-FFF2-40B4-BE49-F238E27FC236}">
              <a16:creationId xmlns:a16="http://schemas.microsoft.com/office/drawing/2014/main" id="{1AF7B9DA-A6BA-4667-8EA9-619961CD0D38}"/>
            </a:ext>
          </a:extLst>
        </xdr:cNvPr>
        <xdr:cNvGrpSpPr/>
      </xdr:nvGrpSpPr>
      <xdr:grpSpPr>
        <a:xfrm>
          <a:off x="11700856" y="310946"/>
          <a:ext cx="623187" cy="409316"/>
          <a:chOff x="3207261" y="2135607"/>
          <a:chExt cx="689910" cy="602421"/>
        </a:xfrm>
      </xdr:grpSpPr>
      <xdr:sp macro="" textlink="">
        <xdr:nvSpPr>
          <xdr:cNvPr id="14" name="Rectangle 13">
            <a:extLst>
              <a:ext uri="{FF2B5EF4-FFF2-40B4-BE49-F238E27FC236}">
                <a16:creationId xmlns:a16="http://schemas.microsoft.com/office/drawing/2014/main" id="{AFA70281-BA5D-87EF-027E-440704D7C8D7}"/>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5" name="Graphic 3" descr="Back with solid fill">
            <a:extLst>
              <a:ext uri="{FF2B5EF4-FFF2-40B4-BE49-F238E27FC236}">
                <a16:creationId xmlns:a16="http://schemas.microsoft.com/office/drawing/2014/main" id="{6601A5C5-D872-5F73-73C7-49002B5068C2}"/>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6" name="TextBox 15">
            <a:extLst>
              <a:ext uri="{FF2B5EF4-FFF2-40B4-BE49-F238E27FC236}">
                <a16:creationId xmlns:a16="http://schemas.microsoft.com/office/drawing/2014/main" id="{22075D0E-F7D4-8FA3-C7DB-E43AE8BF1716}"/>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16</xdr:col>
      <xdr:colOff>231524</xdr:colOff>
      <xdr:row>1</xdr:row>
      <xdr:rowOff>104775</xdr:rowOff>
    </xdr:from>
    <xdr:to>
      <xdr:col>17</xdr:col>
      <xdr:colOff>66669</xdr:colOff>
      <xdr:row>3</xdr:row>
      <xdr:rowOff>101754</xdr:rowOff>
    </xdr:to>
    <xdr:grpSp>
      <xdr:nvGrpSpPr>
        <xdr:cNvPr id="17" name="Group 16">
          <a:hlinkClick xmlns:r="http://schemas.openxmlformats.org/officeDocument/2006/relationships" r:id="rId8" tooltip="Go to Next page"/>
          <a:extLst>
            <a:ext uri="{FF2B5EF4-FFF2-40B4-BE49-F238E27FC236}">
              <a16:creationId xmlns:a16="http://schemas.microsoft.com/office/drawing/2014/main" id="{9245A106-AAB0-4A35-8CD4-009BF9AD3C15}"/>
            </a:ext>
          </a:extLst>
        </xdr:cNvPr>
        <xdr:cNvGrpSpPr/>
      </xdr:nvGrpSpPr>
      <xdr:grpSpPr>
        <a:xfrm rot="10800000">
          <a:off x="12552173" y="310944"/>
          <a:ext cx="593847" cy="409316"/>
          <a:chOff x="3185180" y="2135611"/>
          <a:chExt cx="648224" cy="602421"/>
        </a:xfrm>
      </xdr:grpSpPr>
      <xdr:sp macro="" textlink="">
        <xdr:nvSpPr>
          <xdr:cNvPr id="18" name="Rectangle 17">
            <a:extLst>
              <a:ext uri="{FF2B5EF4-FFF2-40B4-BE49-F238E27FC236}">
                <a16:creationId xmlns:a16="http://schemas.microsoft.com/office/drawing/2014/main" id="{B9EDE032-88DE-8EDA-CE21-DC890D4E46BC}"/>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9" name="Graphic 3" descr="Back with solid fill">
            <a:extLst>
              <a:ext uri="{FF2B5EF4-FFF2-40B4-BE49-F238E27FC236}">
                <a16:creationId xmlns:a16="http://schemas.microsoft.com/office/drawing/2014/main" id="{41B63149-6F64-80F2-179D-49FDA1B45B85}"/>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20" name="TextBox 19">
            <a:extLst>
              <a:ext uri="{FF2B5EF4-FFF2-40B4-BE49-F238E27FC236}">
                <a16:creationId xmlns:a16="http://schemas.microsoft.com/office/drawing/2014/main" id="{AF73882A-F4F1-D008-5348-B153BB6163C1}"/>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14</xdr:col>
      <xdr:colOff>380523</xdr:colOff>
      <xdr:row>1</xdr:row>
      <xdr:rowOff>149381</xdr:rowOff>
    </xdr:from>
    <xdr:to>
      <xdr:col>14</xdr:col>
      <xdr:colOff>634679</xdr:colOff>
      <xdr:row>3</xdr:row>
      <xdr:rowOff>39703</xdr:rowOff>
    </xdr:to>
    <xdr:grpSp>
      <xdr:nvGrpSpPr>
        <xdr:cNvPr id="21" name="Group 20">
          <a:hlinkClick xmlns:r="http://schemas.openxmlformats.org/officeDocument/2006/relationships" r:id="rId9" tooltip="Go to Gallery"/>
          <a:extLst>
            <a:ext uri="{FF2B5EF4-FFF2-40B4-BE49-F238E27FC236}">
              <a16:creationId xmlns:a16="http://schemas.microsoft.com/office/drawing/2014/main" id="{263332D7-A1D2-498D-B536-3F71B37C6DA1}"/>
            </a:ext>
          </a:extLst>
        </xdr:cNvPr>
        <xdr:cNvGrpSpPr/>
      </xdr:nvGrpSpPr>
      <xdr:grpSpPr>
        <a:xfrm>
          <a:off x="11183770" y="355550"/>
          <a:ext cx="254156" cy="302659"/>
          <a:chOff x="5270413" y="829190"/>
          <a:chExt cx="251434" cy="252272"/>
        </a:xfrm>
      </xdr:grpSpPr>
      <xdr:sp macro="" textlink="">
        <xdr:nvSpPr>
          <xdr:cNvPr id="22" name="Rectangle 21">
            <a:extLst>
              <a:ext uri="{FF2B5EF4-FFF2-40B4-BE49-F238E27FC236}">
                <a16:creationId xmlns:a16="http://schemas.microsoft.com/office/drawing/2014/main" id="{BB01454D-7241-5A5B-31C0-BA0D5521E09B}"/>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79463525-095E-8368-FE83-E707B5D1EBE7}"/>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A0718C28-9C5A-71CA-D6A4-D7DAD89BB457}"/>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Rectangle 24">
            <a:extLst>
              <a:ext uri="{FF2B5EF4-FFF2-40B4-BE49-F238E27FC236}">
                <a16:creationId xmlns:a16="http://schemas.microsoft.com/office/drawing/2014/main" id="{D37BB0BC-3550-686C-62D8-9A4286F75C46}"/>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6" name="Rectangle 25">
            <a:extLst>
              <a:ext uri="{FF2B5EF4-FFF2-40B4-BE49-F238E27FC236}">
                <a16:creationId xmlns:a16="http://schemas.microsoft.com/office/drawing/2014/main" id="{7E7705AE-A075-F6BB-35D9-12AC423644D1}"/>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C871B31B-CF3A-A39A-2113-7F078AC5FC99}"/>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AF2E29C4-9B30-0A8E-B8E1-136723A179F2}"/>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DB0E9606-6095-B7EA-9247-BC16910B7254}"/>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9828011D-81DC-E5D5-0A84-73877B916946}"/>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2</xdr:col>
      <xdr:colOff>571500</xdr:colOff>
      <xdr:row>4</xdr:row>
      <xdr:rowOff>0</xdr:rowOff>
    </xdr:to>
    <xdr:sp macro="" textlink="">
      <xdr:nvSpPr>
        <xdr:cNvPr id="31" name="Rectangle 30">
          <a:hlinkClick xmlns:r="http://schemas.openxmlformats.org/officeDocument/2006/relationships" r:id="rId10" tooltip="Visit our website"/>
          <a:extLst>
            <a:ext uri="{FF2B5EF4-FFF2-40B4-BE49-F238E27FC236}">
              <a16:creationId xmlns:a16="http://schemas.microsoft.com/office/drawing/2014/main" id="{E61F93E4-D88C-412B-82DE-9AB5A8FC4D92}"/>
            </a:ext>
          </a:extLst>
        </xdr:cNvPr>
        <xdr:cNvSpPr/>
      </xdr:nvSpPr>
      <xdr:spPr>
        <a:xfrm>
          <a:off x="16192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7.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F274878A-BAF5-485C-AF79-1A99EFA5E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200025"/>
          <a:ext cx="361950" cy="361950"/>
        </a:xfrm>
        <a:prstGeom prst="rect">
          <a:avLst/>
        </a:prstGeom>
      </xdr:spPr>
    </xdr:pic>
    <xdr:clientData/>
  </xdr:oneCellAnchor>
  <xdr:twoCellAnchor editAs="absolute">
    <xdr:from>
      <xdr:col>8</xdr:col>
      <xdr:colOff>684212</xdr:colOff>
      <xdr:row>1</xdr:row>
      <xdr:rowOff>142877</xdr:rowOff>
    </xdr:from>
    <xdr:to>
      <xdr:col>9</xdr:col>
      <xdr:colOff>265107</xdr:colOff>
      <xdr:row>3</xdr:row>
      <xdr:rowOff>57377</xdr:rowOff>
    </xdr:to>
    <xdr:grpSp>
      <xdr:nvGrpSpPr>
        <xdr:cNvPr id="7" name="Group 6">
          <a:hlinkClick xmlns:r="http://schemas.openxmlformats.org/officeDocument/2006/relationships" r:id="rId2" tooltip="Go to Cover page"/>
          <a:extLst>
            <a:ext uri="{FF2B5EF4-FFF2-40B4-BE49-F238E27FC236}">
              <a16:creationId xmlns:a16="http://schemas.microsoft.com/office/drawing/2014/main" id="{BE7FB650-E731-458D-BA69-E12113CB1ACD}"/>
            </a:ext>
          </a:extLst>
        </xdr:cNvPr>
        <xdr:cNvGrpSpPr/>
      </xdr:nvGrpSpPr>
      <xdr:grpSpPr>
        <a:xfrm>
          <a:off x="9820275" y="349252"/>
          <a:ext cx="1017582" cy="327250"/>
          <a:chOff x="3615235" y="2135609"/>
          <a:chExt cx="1011478" cy="463990"/>
        </a:xfrm>
      </xdr:grpSpPr>
      <xdr:sp macro="" textlink="">
        <xdr:nvSpPr>
          <xdr:cNvPr id="8" name="Rectangle 7">
            <a:extLst>
              <a:ext uri="{FF2B5EF4-FFF2-40B4-BE49-F238E27FC236}">
                <a16:creationId xmlns:a16="http://schemas.microsoft.com/office/drawing/2014/main" id="{46937E57-4953-88A5-FF0B-A4A8B6D39C06}"/>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9" name="Graphic 3" descr="Back with solid fill">
            <a:extLst>
              <a:ext uri="{FF2B5EF4-FFF2-40B4-BE49-F238E27FC236}">
                <a16:creationId xmlns:a16="http://schemas.microsoft.com/office/drawing/2014/main" id="{C0DDAD96-3D14-7B2C-34AC-2B9C372699EB}"/>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10" name="TextBox 9">
            <a:extLst>
              <a:ext uri="{FF2B5EF4-FFF2-40B4-BE49-F238E27FC236}">
                <a16:creationId xmlns:a16="http://schemas.microsoft.com/office/drawing/2014/main" id="{2A9AE380-DFB4-A04A-FB46-D10B77903EAA}"/>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9</xdr:col>
      <xdr:colOff>786608</xdr:colOff>
      <xdr:row>1</xdr:row>
      <xdr:rowOff>95252</xdr:rowOff>
    </xdr:from>
    <xdr:to>
      <xdr:col>10</xdr:col>
      <xdr:colOff>3394</xdr:colOff>
      <xdr:row>3</xdr:row>
      <xdr:rowOff>92231</xdr:rowOff>
    </xdr:to>
    <xdr:grpSp>
      <xdr:nvGrpSpPr>
        <xdr:cNvPr id="11" name="Group 10">
          <a:hlinkClick xmlns:r="http://schemas.openxmlformats.org/officeDocument/2006/relationships" r:id="rId3" tooltip="Go to Previous page"/>
          <a:extLst>
            <a:ext uri="{FF2B5EF4-FFF2-40B4-BE49-F238E27FC236}">
              <a16:creationId xmlns:a16="http://schemas.microsoft.com/office/drawing/2014/main" id="{03FD768F-71C4-4FE9-8F4A-CA45B957FB6F}"/>
            </a:ext>
          </a:extLst>
        </xdr:cNvPr>
        <xdr:cNvGrpSpPr/>
      </xdr:nvGrpSpPr>
      <xdr:grpSpPr>
        <a:xfrm>
          <a:off x="11359358" y="301627"/>
          <a:ext cx="653474" cy="409729"/>
          <a:chOff x="3207261" y="2135607"/>
          <a:chExt cx="689910" cy="602421"/>
        </a:xfrm>
      </xdr:grpSpPr>
      <xdr:sp macro="" textlink="">
        <xdr:nvSpPr>
          <xdr:cNvPr id="12" name="Rectangle 11">
            <a:extLst>
              <a:ext uri="{FF2B5EF4-FFF2-40B4-BE49-F238E27FC236}">
                <a16:creationId xmlns:a16="http://schemas.microsoft.com/office/drawing/2014/main" id="{693A6AFA-DB61-7E17-98F2-042B474D79E2}"/>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3" name="Graphic 3" descr="Back with solid fill">
            <a:extLst>
              <a:ext uri="{FF2B5EF4-FFF2-40B4-BE49-F238E27FC236}">
                <a16:creationId xmlns:a16="http://schemas.microsoft.com/office/drawing/2014/main" id="{67A51C2F-5372-291D-1A61-789508FFB9B8}"/>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4" name="TextBox 13">
            <a:extLst>
              <a:ext uri="{FF2B5EF4-FFF2-40B4-BE49-F238E27FC236}">
                <a16:creationId xmlns:a16="http://schemas.microsoft.com/office/drawing/2014/main" id="{B51B04E0-EAA4-931F-A2ED-506C3A8566CF}"/>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11</xdr:col>
      <xdr:colOff>69599</xdr:colOff>
      <xdr:row>1</xdr:row>
      <xdr:rowOff>95250</xdr:rowOff>
    </xdr:from>
    <xdr:to>
      <xdr:col>11</xdr:col>
      <xdr:colOff>628644</xdr:colOff>
      <xdr:row>3</xdr:row>
      <xdr:rowOff>92229</xdr:rowOff>
    </xdr:to>
    <xdr:grpSp>
      <xdr:nvGrpSpPr>
        <xdr:cNvPr id="15" name="Group 14">
          <a:hlinkClick xmlns:r="http://schemas.openxmlformats.org/officeDocument/2006/relationships" r:id="rId4" tooltip="Go to Next page"/>
          <a:extLst>
            <a:ext uri="{FF2B5EF4-FFF2-40B4-BE49-F238E27FC236}">
              <a16:creationId xmlns:a16="http://schemas.microsoft.com/office/drawing/2014/main" id="{BFC66C42-D7FC-4EAC-BE19-E868D4489F25}"/>
            </a:ext>
          </a:extLst>
        </xdr:cNvPr>
        <xdr:cNvGrpSpPr/>
      </xdr:nvGrpSpPr>
      <xdr:grpSpPr>
        <a:xfrm rot="10800000">
          <a:off x="12253662" y="301625"/>
          <a:ext cx="559045" cy="409729"/>
          <a:chOff x="3185180" y="2135611"/>
          <a:chExt cx="648224" cy="602421"/>
        </a:xfrm>
      </xdr:grpSpPr>
      <xdr:sp macro="" textlink="">
        <xdr:nvSpPr>
          <xdr:cNvPr id="16" name="Rectangle 15">
            <a:extLst>
              <a:ext uri="{FF2B5EF4-FFF2-40B4-BE49-F238E27FC236}">
                <a16:creationId xmlns:a16="http://schemas.microsoft.com/office/drawing/2014/main" id="{F939611D-FA02-FF23-7086-0E3B823C901D}"/>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7" name="Graphic 3" descr="Back with solid fill">
            <a:extLst>
              <a:ext uri="{FF2B5EF4-FFF2-40B4-BE49-F238E27FC236}">
                <a16:creationId xmlns:a16="http://schemas.microsoft.com/office/drawing/2014/main" id="{BAF00F4C-59F6-F055-2CAA-1802D2E4DC73}"/>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8" name="TextBox 17">
            <a:extLst>
              <a:ext uri="{FF2B5EF4-FFF2-40B4-BE49-F238E27FC236}">
                <a16:creationId xmlns:a16="http://schemas.microsoft.com/office/drawing/2014/main" id="{4411D6B6-C63A-6993-7E46-278F3E8B52BB}"/>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9</xdr:col>
      <xdr:colOff>304323</xdr:colOff>
      <xdr:row>1</xdr:row>
      <xdr:rowOff>139856</xdr:rowOff>
    </xdr:from>
    <xdr:to>
      <xdr:col>9</xdr:col>
      <xdr:colOff>558479</xdr:colOff>
      <xdr:row>3</xdr:row>
      <xdr:rowOff>30178</xdr:rowOff>
    </xdr:to>
    <xdr:grpSp>
      <xdr:nvGrpSpPr>
        <xdr:cNvPr id="19" name="Group 18">
          <a:hlinkClick xmlns:r="http://schemas.openxmlformats.org/officeDocument/2006/relationships" r:id="rId5" tooltip="Go to Gallery"/>
          <a:extLst>
            <a:ext uri="{FF2B5EF4-FFF2-40B4-BE49-F238E27FC236}">
              <a16:creationId xmlns:a16="http://schemas.microsoft.com/office/drawing/2014/main" id="{25900339-4A81-45BA-A4A9-33D292C6BFA6}"/>
            </a:ext>
          </a:extLst>
        </xdr:cNvPr>
        <xdr:cNvGrpSpPr/>
      </xdr:nvGrpSpPr>
      <xdr:grpSpPr>
        <a:xfrm>
          <a:off x="10877073" y="346231"/>
          <a:ext cx="254156" cy="303072"/>
          <a:chOff x="5270413" y="829190"/>
          <a:chExt cx="251434" cy="252272"/>
        </a:xfrm>
      </xdr:grpSpPr>
      <xdr:sp macro="" textlink="">
        <xdr:nvSpPr>
          <xdr:cNvPr id="20" name="Rectangle 19">
            <a:extLst>
              <a:ext uri="{FF2B5EF4-FFF2-40B4-BE49-F238E27FC236}">
                <a16:creationId xmlns:a16="http://schemas.microsoft.com/office/drawing/2014/main" id="{2C0678B0-D3FD-B696-D07F-2D53C33106B3}"/>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75FEF614-C415-FD53-AE11-60B49877892D}"/>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88DBC3DE-0485-9F58-0D35-7E7C4E8ECED1}"/>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A19A9298-8FA9-7F35-22C3-6B38FCD77D54}"/>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A7F27D86-5915-966A-78ED-63FB25FC7EB8}"/>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Rectangle 24">
            <a:extLst>
              <a:ext uri="{FF2B5EF4-FFF2-40B4-BE49-F238E27FC236}">
                <a16:creationId xmlns:a16="http://schemas.microsoft.com/office/drawing/2014/main" id="{3A404B5A-7D7B-8880-1FD2-118E4A79A46D}"/>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6" name="Rectangle 25">
            <a:extLst>
              <a:ext uri="{FF2B5EF4-FFF2-40B4-BE49-F238E27FC236}">
                <a16:creationId xmlns:a16="http://schemas.microsoft.com/office/drawing/2014/main" id="{2325936E-93CC-F6CF-D11F-4E251A193389}"/>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7" name="Rectangle 26">
            <a:extLst>
              <a:ext uri="{FF2B5EF4-FFF2-40B4-BE49-F238E27FC236}">
                <a16:creationId xmlns:a16="http://schemas.microsoft.com/office/drawing/2014/main" id="{6124D62E-C120-32BA-B0ED-D558D48CB45C}"/>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2DA01D31-679E-6DBA-38F5-A6143BBD3B58}"/>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3</xdr:col>
      <xdr:colOff>47625</xdr:colOff>
      <xdr:row>4</xdr:row>
      <xdr:rowOff>0</xdr:rowOff>
    </xdr:to>
    <xdr:sp macro="" textlink="">
      <xdr:nvSpPr>
        <xdr:cNvPr id="3" name="Rectangle 2">
          <a:hlinkClick xmlns:r="http://schemas.openxmlformats.org/officeDocument/2006/relationships" r:id="rId6" tooltip="Visit our website"/>
          <a:extLst>
            <a:ext uri="{FF2B5EF4-FFF2-40B4-BE49-F238E27FC236}">
              <a16:creationId xmlns:a16="http://schemas.microsoft.com/office/drawing/2014/main" id="{65BFCFCD-1D3F-4990-9EF1-D0D97F7DE4EB}"/>
            </a:ext>
          </a:extLst>
        </xdr:cNvPr>
        <xdr:cNvSpPr/>
      </xdr:nvSpPr>
      <xdr:spPr>
        <a:xfrm>
          <a:off x="161925"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8.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58EBAC38-4C4A-487B-AF28-1F4E7B259F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200025"/>
          <a:ext cx="361950" cy="361950"/>
        </a:xfrm>
        <a:prstGeom prst="rect">
          <a:avLst/>
        </a:prstGeom>
      </xdr:spPr>
    </xdr:pic>
    <xdr:clientData/>
  </xdr:oneCellAnchor>
  <xdr:twoCellAnchor>
    <xdr:from>
      <xdr:col>6</xdr:col>
      <xdr:colOff>339725</xdr:colOff>
      <xdr:row>6</xdr:row>
      <xdr:rowOff>12700</xdr:rowOff>
    </xdr:from>
    <xdr:to>
      <xdr:col>6</xdr:col>
      <xdr:colOff>339725</xdr:colOff>
      <xdr:row>9</xdr:row>
      <xdr:rowOff>3175</xdr:rowOff>
    </xdr:to>
    <xdr:cxnSp macro="">
      <xdr:nvCxnSpPr>
        <xdr:cNvPr id="3" name="Straight Arrow Connector 2">
          <a:extLst>
            <a:ext uri="{FF2B5EF4-FFF2-40B4-BE49-F238E27FC236}">
              <a16:creationId xmlns:a16="http://schemas.microsoft.com/office/drawing/2014/main" id="{2AEF6F5F-3A42-4256-9711-CD311E4363A0}"/>
            </a:ext>
          </a:extLst>
        </xdr:cNvPr>
        <xdr:cNvCxnSpPr/>
      </xdr:nvCxnSpPr>
      <xdr:spPr>
        <a:xfrm>
          <a:off x="6397625" y="8185150"/>
          <a:ext cx="0" cy="56197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698500</xdr:colOff>
      <xdr:row>1</xdr:row>
      <xdr:rowOff>142877</xdr:rowOff>
    </xdr:from>
    <xdr:to>
      <xdr:col>12</xdr:col>
      <xdr:colOff>669919</xdr:colOff>
      <xdr:row>3</xdr:row>
      <xdr:rowOff>57377</xdr:rowOff>
    </xdr:to>
    <xdr:grpSp>
      <xdr:nvGrpSpPr>
        <xdr:cNvPr id="5" name="Group 4">
          <a:hlinkClick xmlns:r="http://schemas.openxmlformats.org/officeDocument/2006/relationships" r:id="rId2" tooltip="Go to Cover page"/>
          <a:extLst>
            <a:ext uri="{FF2B5EF4-FFF2-40B4-BE49-F238E27FC236}">
              <a16:creationId xmlns:a16="http://schemas.microsoft.com/office/drawing/2014/main" id="{C0B012AF-9654-49B1-A0FD-9D218529F1C8}"/>
            </a:ext>
          </a:extLst>
        </xdr:cNvPr>
        <xdr:cNvGrpSpPr/>
      </xdr:nvGrpSpPr>
      <xdr:grpSpPr>
        <a:xfrm>
          <a:off x="9823450" y="346077"/>
          <a:ext cx="1006469" cy="320900"/>
          <a:chOff x="3615235" y="2135609"/>
          <a:chExt cx="1011478" cy="463990"/>
        </a:xfrm>
      </xdr:grpSpPr>
      <xdr:sp macro="" textlink="">
        <xdr:nvSpPr>
          <xdr:cNvPr id="6" name="Rectangle 5">
            <a:extLst>
              <a:ext uri="{FF2B5EF4-FFF2-40B4-BE49-F238E27FC236}">
                <a16:creationId xmlns:a16="http://schemas.microsoft.com/office/drawing/2014/main" id="{14220BAF-3D0D-4991-BB9C-926FD14C98FF}"/>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7" name="Graphic 3" descr="Back with solid fill">
            <a:extLst>
              <a:ext uri="{FF2B5EF4-FFF2-40B4-BE49-F238E27FC236}">
                <a16:creationId xmlns:a16="http://schemas.microsoft.com/office/drawing/2014/main" id="{7B5CC0FB-9747-C0C0-69E5-B6BAF850023F}"/>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8" name="TextBox 7">
            <a:extLst>
              <a:ext uri="{FF2B5EF4-FFF2-40B4-BE49-F238E27FC236}">
                <a16:creationId xmlns:a16="http://schemas.microsoft.com/office/drawing/2014/main" id="{6D53AFDF-1376-2560-4050-FF697837BA22}"/>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13</xdr:col>
      <xdr:colOff>758033</xdr:colOff>
      <xdr:row>1</xdr:row>
      <xdr:rowOff>95252</xdr:rowOff>
    </xdr:from>
    <xdr:to>
      <xdr:col>14</xdr:col>
      <xdr:colOff>231994</xdr:colOff>
      <xdr:row>3</xdr:row>
      <xdr:rowOff>92231</xdr:rowOff>
    </xdr:to>
    <xdr:grpSp>
      <xdr:nvGrpSpPr>
        <xdr:cNvPr id="9" name="Group 8">
          <a:hlinkClick xmlns:r="http://schemas.openxmlformats.org/officeDocument/2006/relationships" r:id="rId3" tooltip="Go to Previous page"/>
          <a:extLst>
            <a:ext uri="{FF2B5EF4-FFF2-40B4-BE49-F238E27FC236}">
              <a16:creationId xmlns:a16="http://schemas.microsoft.com/office/drawing/2014/main" id="{4B561F6D-FD26-43D4-A9DB-40A56CD63ABD}"/>
            </a:ext>
          </a:extLst>
        </xdr:cNvPr>
        <xdr:cNvGrpSpPr/>
      </xdr:nvGrpSpPr>
      <xdr:grpSpPr>
        <a:xfrm>
          <a:off x="12124533" y="298452"/>
          <a:ext cx="642361" cy="403379"/>
          <a:chOff x="3207261" y="2135607"/>
          <a:chExt cx="689910" cy="602421"/>
        </a:xfrm>
      </xdr:grpSpPr>
      <xdr:sp macro="" textlink="">
        <xdr:nvSpPr>
          <xdr:cNvPr id="10" name="Rectangle 9">
            <a:extLst>
              <a:ext uri="{FF2B5EF4-FFF2-40B4-BE49-F238E27FC236}">
                <a16:creationId xmlns:a16="http://schemas.microsoft.com/office/drawing/2014/main" id="{003D18D3-D6E8-16CF-8D27-179DD882AB61}"/>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 name="Graphic 3" descr="Back with solid fill">
            <a:extLst>
              <a:ext uri="{FF2B5EF4-FFF2-40B4-BE49-F238E27FC236}">
                <a16:creationId xmlns:a16="http://schemas.microsoft.com/office/drawing/2014/main" id="{D0D55AB7-F188-76D7-C997-94EC23343B6B}"/>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2" name="TextBox 11">
            <a:extLst>
              <a:ext uri="{FF2B5EF4-FFF2-40B4-BE49-F238E27FC236}">
                <a16:creationId xmlns:a16="http://schemas.microsoft.com/office/drawing/2014/main" id="{D9CB2AF4-7C44-F278-737C-5B4E4E3496C3}"/>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15</xdr:col>
      <xdr:colOff>2924</xdr:colOff>
      <xdr:row>1</xdr:row>
      <xdr:rowOff>95250</xdr:rowOff>
    </xdr:from>
    <xdr:to>
      <xdr:col>15</xdr:col>
      <xdr:colOff>561969</xdr:colOff>
      <xdr:row>3</xdr:row>
      <xdr:rowOff>92229</xdr:rowOff>
    </xdr:to>
    <xdr:grpSp>
      <xdr:nvGrpSpPr>
        <xdr:cNvPr id="13" name="Group 12">
          <a:hlinkClick xmlns:r="http://schemas.openxmlformats.org/officeDocument/2006/relationships" r:id="rId4" tooltip="Go to Next page"/>
          <a:extLst>
            <a:ext uri="{FF2B5EF4-FFF2-40B4-BE49-F238E27FC236}">
              <a16:creationId xmlns:a16="http://schemas.microsoft.com/office/drawing/2014/main" id="{9138D138-6070-40FE-A555-26F38A640E7A}"/>
            </a:ext>
          </a:extLst>
        </xdr:cNvPr>
        <xdr:cNvGrpSpPr/>
      </xdr:nvGrpSpPr>
      <xdr:grpSpPr>
        <a:xfrm rot="10800000">
          <a:off x="13014074" y="298450"/>
          <a:ext cx="559045" cy="403379"/>
          <a:chOff x="3185180" y="2135611"/>
          <a:chExt cx="648224" cy="602421"/>
        </a:xfrm>
      </xdr:grpSpPr>
      <xdr:sp macro="" textlink="">
        <xdr:nvSpPr>
          <xdr:cNvPr id="14" name="Rectangle 13">
            <a:extLst>
              <a:ext uri="{FF2B5EF4-FFF2-40B4-BE49-F238E27FC236}">
                <a16:creationId xmlns:a16="http://schemas.microsoft.com/office/drawing/2014/main" id="{49EE144F-08CC-B9FF-2904-EF4D4F6D9143}"/>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5" name="Graphic 3" descr="Back with solid fill">
            <a:extLst>
              <a:ext uri="{FF2B5EF4-FFF2-40B4-BE49-F238E27FC236}">
                <a16:creationId xmlns:a16="http://schemas.microsoft.com/office/drawing/2014/main" id="{8F110B61-0E67-7014-C1D7-098E1FCCADFF}"/>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16" name="TextBox 15">
            <a:extLst>
              <a:ext uri="{FF2B5EF4-FFF2-40B4-BE49-F238E27FC236}">
                <a16:creationId xmlns:a16="http://schemas.microsoft.com/office/drawing/2014/main" id="{3ACB53DF-4B47-4B72-1B1A-87F9E3045C05}"/>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13</xdr:col>
      <xdr:colOff>275748</xdr:colOff>
      <xdr:row>1</xdr:row>
      <xdr:rowOff>139856</xdr:rowOff>
    </xdr:from>
    <xdr:to>
      <xdr:col>13</xdr:col>
      <xdr:colOff>529904</xdr:colOff>
      <xdr:row>3</xdr:row>
      <xdr:rowOff>30178</xdr:rowOff>
    </xdr:to>
    <xdr:grpSp>
      <xdr:nvGrpSpPr>
        <xdr:cNvPr id="17" name="Group 16">
          <a:hlinkClick xmlns:r="http://schemas.openxmlformats.org/officeDocument/2006/relationships" r:id="rId5" tooltip="Go to Gallery"/>
          <a:extLst>
            <a:ext uri="{FF2B5EF4-FFF2-40B4-BE49-F238E27FC236}">
              <a16:creationId xmlns:a16="http://schemas.microsoft.com/office/drawing/2014/main" id="{60ECB180-9A3A-4A4F-88FD-A84C4102FF9A}"/>
            </a:ext>
          </a:extLst>
        </xdr:cNvPr>
        <xdr:cNvGrpSpPr/>
      </xdr:nvGrpSpPr>
      <xdr:grpSpPr>
        <a:xfrm>
          <a:off x="11642248" y="343056"/>
          <a:ext cx="254156" cy="296722"/>
          <a:chOff x="5270413" y="829190"/>
          <a:chExt cx="251434" cy="252272"/>
        </a:xfrm>
      </xdr:grpSpPr>
      <xdr:sp macro="" textlink="">
        <xdr:nvSpPr>
          <xdr:cNvPr id="18" name="Rectangle 17">
            <a:extLst>
              <a:ext uri="{FF2B5EF4-FFF2-40B4-BE49-F238E27FC236}">
                <a16:creationId xmlns:a16="http://schemas.microsoft.com/office/drawing/2014/main" id="{394DB24A-4DC3-7D8D-AB24-A2E88F6BA6BA}"/>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18">
            <a:extLst>
              <a:ext uri="{FF2B5EF4-FFF2-40B4-BE49-F238E27FC236}">
                <a16:creationId xmlns:a16="http://schemas.microsoft.com/office/drawing/2014/main" id="{FC9158E0-13AC-6E79-BCDC-6BD78A891FD1}"/>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19">
            <a:extLst>
              <a:ext uri="{FF2B5EF4-FFF2-40B4-BE49-F238E27FC236}">
                <a16:creationId xmlns:a16="http://schemas.microsoft.com/office/drawing/2014/main" id="{B5566897-DA67-6B75-0D24-9A4F218AD700}"/>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20">
            <a:extLst>
              <a:ext uri="{FF2B5EF4-FFF2-40B4-BE49-F238E27FC236}">
                <a16:creationId xmlns:a16="http://schemas.microsoft.com/office/drawing/2014/main" id="{82443B09-312E-071F-01EE-925DBF4A64E8}"/>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ectangle 21">
            <a:extLst>
              <a:ext uri="{FF2B5EF4-FFF2-40B4-BE49-F238E27FC236}">
                <a16:creationId xmlns:a16="http://schemas.microsoft.com/office/drawing/2014/main" id="{A4439A52-D02A-DC08-6B95-78B44B0692EF}"/>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22">
            <a:extLst>
              <a:ext uri="{FF2B5EF4-FFF2-40B4-BE49-F238E27FC236}">
                <a16:creationId xmlns:a16="http://schemas.microsoft.com/office/drawing/2014/main" id="{58326F3D-1BA0-4640-AA22-7E1B2B41E142}"/>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ectangle 23">
            <a:extLst>
              <a:ext uri="{FF2B5EF4-FFF2-40B4-BE49-F238E27FC236}">
                <a16:creationId xmlns:a16="http://schemas.microsoft.com/office/drawing/2014/main" id="{09C7B9BA-C5C1-4FAB-B812-BC00F0DCCF31}"/>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Rectangle 24">
            <a:extLst>
              <a:ext uri="{FF2B5EF4-FFF2-40B4-BE49-F238E27FC236}">
                <a16:creationId xmlns:a16="http://schemas.microsoft.com/office/drawing/2014/main" id="{C211ACAE-370A-C104-BB1B-A0FEB96E3B78}"/>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6" name="Rectangle 25">
            <a:extLst>
              <a:ext uri="{FF2B5EF4-FFF2-40B4-BE49-F238E27FC236}">
                <a16:creationId xmlns:a16="http://schemas.microsoft.com/office/drawing/2014/main" id="{295FB4F0-206A-6F2A-8566-AED142786B65}"/>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3</xdr:col>
      <xdr:colOff>104775</xdr:colOff>
      <xdr:row>4</xdr:row>
      <xdr:rowOff>0</xdr:rowOff>
    </xdr:to>
    <xdr:sp macro="" textlink="">
      <xdr:nvSpPr>
        <xdr:cNvPr id="4" name="Rectangle 3">
          <a:hlinkClick xmlns:r="http://schemas.openxmlformats.org/officeDocument/2006/relationships" r:id="rId6" tooltip="Visit our website"/>
          <a:extLst>
            <a:ext uri="{FF2B5EF4-FFF2-40B4-BE49-F238E27FC236}">
              <a16:creationId xmlns:a16="http://schemas.microsoft.com/office/drawing/2014/main" id="{552641B3-0CBB-4C54-B963-2118786A9E32}"/>
            </a:ext>
          </a:extLst>
        </xdr:cNvPr>
        <xdr:cNvSpPr/>
      </xdr:nvSpPr>
      <xdr:spPr>
        <a:xfrm>
          <a:off x="133350"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9.xml><?xml version="1.0" encoding="utf-8"?>
<xdr:wsDr xmlns:xdr="http://schemas.openxmlformats.org/drawingml/2006/spreadsheetDrawing" xmlns:a="http://schemas.openxmlformats.org/drawingml/2006/main">
  <xdr:oneCellAnchor>
    <xdr:from>
      <xdr:col>1</xdr:col>
      <xdr:colOff>9525</xdr:colOff>
      <xdr:row>1</xdr:row>
      <xdr:rowOff>38100</xdr:rowOff>
    </xdr:from>
    <xdr:ext cx="361950" cy="361950"/>
    <xdr:pic>
      <xdr:nvPicPr>
        <xdr:cNvPr id="2" name="Picture 1">
          <a:extLst>
            <a:ext uri="{FF2B5EF4-FFF2-40B4-BE49-F238E27FC236}">
              <a16:creationId xmlns:a16="http://schemas.microsoft.com/office/drawing/2014/main" id="{13000F49-2F98-4CFD-A455-A0CBB12DA9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 y="219075"/>
          <a:ext cx="361950" cy="361950"/>
        </a:xfrm>
        <a:prstGeom prst="rect">
          <a:avLst/>
        </a:prstGeom>
      </xdr:spPr>
    </xdr:pic>
    <xdr:clientData/>
  </xdr:oneCellAnchor>
  <xdr:twoCellAnchor editAs="absolute">
    <xdr:from>
      <xdr:col>10</xdr:col>
      <xdr:colOff>857250</xdr:colOff>
      <xdr:row>1</xdr:row>
      <xdr:rowOff>152402</xdr:rowOff>
    </xdr:from>
    <xdr:to>
      <xdr:col>12</xdr:col>
      <xdr:colOff>819144</xdr:colOff>
      <xdr:row>3</xdr:row>
      <xdr:rowOff>66902</xdr:rowOff>
    </xdr:to>
    <xdr:grpSp>
      <xdr:nvGrpSpPr>
        <xdr:cNvPr id="26" name="Group 25">
          <a:hlinkClick xmlns:r="http://schemas.openxmlformats.org/officeDocument/2006/relationships" r:id="rId2" tooltip="Go to Cover page"/>
          <a:extLst>
            <a:ext uri="{FF2B5EF4-FFF2-40B4-BE49-F238E27FC236}">
              <a16:creationId xmlns:a16="http://schemas.microsoft.com/office/drawing/2014/main" id="{F7A4EF66-F006-479B-A73C-6C7B17AE5690}"/>
            </a:ext>
          </a:extLst>
        </xdr:cNvPr>
        <xdr:cNvGrpSpPr/>
      </xdr:nvGrpSpPr>
      <xdr:grpSpPr>
        <a:xfrm>
          <a:off x="9791700" y="355602"/>
          <a:ext cx="996944" cy="320900"/>
          <a:chOff x="3615235" y="2135609"/>
          <a:chExt cx="1011478" cy="463990"/>
        </a:xfrm>
      </xdr:grpSpPr>
      <xdr:sp macro="" textlink="">
        <xdr:nvSpPr>
          <xdr:cNvPr id="27" name="Rectangle 26">
            <a:extLst>
              <a:ext uri="{FF2B5EF4-FFF2-40B4-BE49-F238E27FC236}">
                <a16:creationId xmlns:a16="http://schemas.microsoft.com/office/drawing/2014/main" id="{74383A3B-A094-CC51-1654-59322252D56C}"/>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8" name="Graphic 3" descr="Back with solid fill">
            <a:extLst>
              <a:ext uri="{FF2B5EF4-FFF2-40B4-BE49-F238E27FC236}">
                <a16:creationId xmlns:a16="http://schemas.microsoft.com/office/drawing/2014/main" id="{10D7D6FD-0B76-BB7C-C159-7EE8DD8A8C88}"/>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bg1"/>
          </a:solidFill>
          <a:ln w="9525" cap="flat">
            <a:noFill/>
            <a:prstDash val="solid"/>
            <a:miter/>
          </a:ln>
        </xdr:spPr>
        <xdr:txBody>
          <a:bodyPr rtlCol="0" anchor="ctr"/>
          <a:lstStyle/>
          <a:p>
            <a:endParaRPr lang="en-GH"/>
          </a:p>
        </xdr:txBody>
      </xdr:sp>
      <xdr:sp macro="" textlink="">
        <xdr:nvSpPr>
          <xdr:cNvPr id="29" name="TextBox 28">
            <a:extLst>
              <a:ext uri="{FF2B5EF4-FFF2-40B4-BE49-F238E27FC236}">
                <a16:creationId xmlns:a16="http://schemas.microsoft.com/office/drawing/2014/main" id="{42178ADD-B8C6-2DB8-7B2C-554AEC3DCDAC}"/>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13</xdr:col>
      <xdr:colOff>377033</xdr:colOff>
      <xdr:row>1</xdr:row>
      <xdr:rowOff>104777</xdr:rowOff>
    </xdr:from>
    <xdr:to>
      <xdr:col>13</xdr:col>
      <xdr:colOff>965419</xdr:colOff>
      <xdr:row>3</xdr:row>
      <xdr:rowOff>101756</xdr:rowOff>
    </xdr:to>
    <xdr:grpSp>
      <xdr:nvGrpSpPr>
        <xdr:cNvPr id="30" name="Group 29">
          <a:hlinkClick xmlns:r="http://schemas.openxmlformats.org/officeDocument/2006/relationships" r:id="rId3" tooltip="Go to Previous page"/>
          <a:extLst>
            <a:ext uri="{FF2B5EF4-FFF2-40B4-BE49-F238E27FC236}">
              <a16:creationId xmlns:a16="http://schemas.microsoft.com/office/drawing/2014/main" id="{84C37AE7-601F-4047-AAA5-935122B1F99E}"/>
            </a:ext>
          </a:extLst>
        </xdr:cNvPr>
        <xdr:cNvGrpSpPr/>
      </xdr:nvGrpSpPr>
      <xdr:grpSpPr>
        <a:xfrm>
          <a:off x="11553033" y="307977"/>
          <a:ext cx="588386" cy="403379"/>
          <a:chOff x="3207261" y="2135607"/>
          <a:chExt cx="689910" cy="602421"/>
        </a:xfrm>
      </xdr:grpSpPr>
      <xdr:sp macro="" textlink="">
        <xdr:nvSpPr>
          <xdr:cNvPr id="31" name="Rectangle 30">
            <a:extLst>
              <a:ext uri="{FF2B5EF4-FFF2-40B4-BE49-F238E27FC236}">
                <a16:creationId xmlns:a16="http://schemas.microsoft.com/office/drawing/2014/main" id="{DE417CB1-C143-124D-3B6B-CE5053BBA8F1}"/>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2" name="Graphic 3" descr="Back with solid fill">
            <a:extLst>
              <a:ext uri="{FF2B5EF4-FFF2-40B4-BE49-F238E27FC236}">
                <a16:creationId xmlns:a16="http://schemas.microsoft.com/office/drawing/2014/main" id="{E73AF1B2-9392-AAB7-89AB-2350685FA1EB}"/>
              </a:ext>
            </a:extLst>
          </xdr:cNvPr>
          <xdr:cNvSpPr/>
        </xdr:nvSpPr>
        <xdr:spPr>
          <a:xfrm flipH="1">
            <a:off x="3207261" y="2194483"/>
            <a:ext cx="633176"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3" name="TextBox 32">
            <a:extLst>
              <a:ext uri="{FF2B5EF4-FFF2-40B4-BE49-F238E27FC236}">
                <a16:creationId xmlns:a16="http://schemas.microsoft.com/office/drawing/2014/main" id="{C9829D02-3951-2A35-D091-494EE426B30C}"/>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Previous</a:t>
            </a:r>
          </a:p>
        </xdr:txBody>
      </xdr:sp>
    </xdr:grpSp>
    <xdr:clientData/>
  </xdr:twoCellAnchor>
  <xdr:twoCellAnchor>
    <xdr:from>
      <xdr:col>14</xdr:col>
      <xdr:colOff>79124</xdr:colOff>
      <xdr:row>1</xdr:row>
      <xdr:rowOff>104775</xdr:rowOff>
    </xdr:from>
    <xdr:to>
      <xdr:col>15</xdr:col>
      <xdr:colOff>180969</xdr:colOff>
      <xdr:row>3</xdr:row>
      <xdr:rowOff>101754</xdr:rowOff>
    </xdr:to>
    <xdr:grpSp>
      <xdr:nvGrpSpPr>
        <xdr:cNvPr id="34" name="Group 33">
          <a:hlinkClick xmlns:r="http://schemas.openxmlformats.org/officeDocument/2006/relationships" r:id="rId4" tooltip="Go to Next page"/>
          <a:extLst>
            <a:ext uri="{FF2B5EF4-FFF2-40B4-BE49-F238E27FC236}">
              <a16:creationId xmlns:a16="http://schemas.microsoft.com/office/drawing/2014/main" id="{67979EB4-54F7-43C5-B830-3C27A694194D}"/>
            </a:ext>
          </a:extLst>
        </xdr:cNvPr>
        <xdr:cNvGrpSpPr/>
      </xdr:nvGrpSpPr>
      <xdr:grpSpPr>
        <a:xfrm rot="10800000">
          <a:off x="12423524" y="307975"/>
          <a:ext cx="578095" cy="403379"/>
          <a:chOff x="3185180" y="2135611"/>
          <a:chExt cx="648224" cy="602421"/>
        </a:xfrm>
      </xdr:grpSpPr>
      <xdr:sp macro="" textlink="">
        <xdr:nvSpPr>
          <xdr:cNvPr id="35" name="Rectangle 34">
            <a:extLst>
              <a:ext uri="{FF2B5EF4-FFF2-40B4-BE49-F238E27FC236}">
                <a16:creationId xmlns:a16="http://schemas.microsoft.com/office/drawing/2014/main" id="{AE81392A-3EDF-FE78-87C6-356921A38E58}"/>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36" name="Graphic 3" descr="Back with solid fill">
            <a:extLst>
              <a:ext uri="{FF2B5EF4-FFF2-40B4-BE49-F238E27FC236}">
                <a16:creationId xmlns:a16="http://schemas.microsoft.com/office/drawing/2014/main" id="{3237DCF4-1311-C4BB-B20D-D5C10228AEA1}"/>
              </a:ext>
            </a:extLst>
          </xdr:cNvPr>
          <xdr:cNvSpPr/>
        </xdr:nvSpPr>
        <xdr:spPr>
          <a:xfrm flipH="1">
            <a:off x="3207263" y="2194483"/>
            <a:ext cx="626141" cy="483375"/>
          </a:xfrm>
          <a:prstGeom prst="rightArrow">
            <a:avLst>
              <a:gd name="adj1" fmla="val 62251"/>
              <a:gd name="adj2" fmla="val 34815"/>
            </a:avLst>
          </a:prstGeom>
          <a:solidFill>
            <a:schemeClr val="bg1"/>
          </a:solidFill>
          <a:ln w="9525" cap="flat">
            <a:noFill/>
            <a:prstDash val="solid"/>
            <a:miter/>
          </a:ln>
        </xdr:spPr>
        <xdr:txBody>
          <a:bodyPr rtlCol="0" anchor="ctr"/>
          <a:lstStyle/>
          <a:p>
            <a:endParaRPr lang="en-GH"/>
          </a:p>
        </xdr:txBody>
      </xdr:sp>
      <xdr:sp macro="" textlink="">
        <xdr:nvSpPr>
          <xdr:cNvPr id="37" name="TextBox 36">
            <a:extLst>
              <a:ext uri="{FF2B5EF4-FFF2-40B4-BE49-F238E27FC236}">
                <a16:creationId xmlns:a16="http://schemas.microsoft.com/office/drawing/2014/main" id="{0E3F9857-AD79-01AE-CF98-A308542D2710}"/>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2">
                    <a:lumMod val="50000"/>
                  </a:schemeClr>
                </a:solidFill>
                <a:latin typeface="Comic Sans MS" panose="030F0702030302020204" pitchFamily="66" charset="0"/>
              </a:rPr>
              <a:t>Next</a:t>
            </a:r>
          </a:p>
        </xdr:txBody>
      </xdr:sp>
    </xdr:grpSp>
    <xdr:clientData/>
  </xdr:twoCellAnchor>
  <xdr:twoCellAnchor>
    <xdr:from>
      <xdr:col>12</xdr:col>
      <xdr:colOff>1047273</xdr:colOff>
      <xdr:row>1</xdr:row>
      <xdr:rowOff>149381</xdr:rowOff>
    </xdr:from>
    <xdr:to>
      <xdr:col>13</xdr:col>
      <xdr:colOff>148904</xdr:colOff>
      <xdr:row>3</xdr:row>
      <xdr:rowOff>39703</xdr:rowOff>
    </xdr:to>
    <xdr:grpSp>
      <xdr:nvGrpSpPr>
        <xdr:cNvPr id="38" name="Group 37">
          <a:hlinkClick xmlns:r="http://schemas.openxmlformats.org/officeDocument/2006/relationships" r:id="rId5" tooltip="Go to Gallery"/>
          <a:extLst>
            <a:ext uri="{FF2B5EF4-FFF2-40B4-BE49-F238E27FC236}">
              <a16:creationId xmlns:a16="http://schemas.microsoft.com/office/drawing/2014/main" id="{69A3101C-3F5A-485E-AC1C-3D45E1340E38}"/>
            </a:ext>
          </a:extLst>
        </xdr:cNvPr>
        <xdr:cNvGrpSpPr/>
      </xdr:nvGrpSpPr>
      <xdr:grpSpPr>
        <a:xfrm>
          <a:off x="11016773" y="352581"/>
          <a:ext cx="308131" cy="296722"/>
          <a:chOff x="5270413" y="829190"/>
          <a:chExt cx="251434" cy="252272"/>
        </a:xfrm>
      </xdr:grpSpPr>
      <xdr:sp macro="" textlink="">
        <xdr:nvSpPr>
          <xdr:cNvPr id="39" name="Rectangle 38">
            <a:extLst>
              <a:ext uri="{FF2B5EF4-FFF2-40B4-BE49-F238E27FC236}">
                <a16:creationId xmlns:a16="http://schemas.microsoft.com/office/drawing/2014/main" id="{AA5EE41A-7124-00BB-F6D8-F4F00BF6CB1E}"/>
              </a:ext>
            </a:extLst>
          </xdr:cNvPr>
          <xdr:cNvSpPr/>
        </xdr:nvSpPr>
        <xdr:spPr>
          <a:xfrm>
            <a:off x="5270414"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0" name="Rectangle 39">
            <a:extLst>
              <a:ext uri="{FF2B5EF4-FFF2-40B4-BE49-F238E27FC236}">
                <a16:creationId xmlns:a16="http://schemas.microsoft.com/office/drawing/2014/main" id="{B4D43775-654D-CDBC-2FCB-04850674D227}"/>
              </a:ext>
            </a:extLst>
          </xdr:cNvPr>
          <xdr:cNvSpPr/>
        </xdr:nvSpPr>
        <xdr:spPr>
          <a:xfrm>
            <a:off x="5360130"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 name="Rectangle 40">
            <a:extLst>
              <a:ext uri="{FF2B5EF4-FFF2-40B4-BE49-F238E27FC236}">
                <a16:creationId xmlns:a16="http://schemas.microsoft.com/office/drawing/2014/main" id="{A0DF4C5F-91B9-D9D2-5EFA-B6B26C24AF74}"/>
              </a:ext>
            </a:extLst>
          </xdr:cNvPr>
          <xdr:cNvSpPr/>
        </xdr:nvSpPr>
        <xdr:spPr>
          <a:xfrm>
            <a:off x="5449847" y="829190"/>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Rectangle 41">
            <a:extLst>
              <a:ext uri="{FF2B5EF4-FFF2-40B4-BE49-F238E27FC236}">
                <a16:creationId xmlns:a16="http://schemas.microsoft.com/office/drawing/2014/main" id="{3C217620-DD2E-C278-3DBD-781FC7DF3E44}"/>
              </a:ext>
            </a:extLst>
          </xdr:cNvPr>
          <xdr:cNvSpPr/>
        </xdr:nvSpPr>
        <xdr:spPr>
          <a:xfrm>
            <a:off x="5270413"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3" name="Rectangle 42">
            <a:extLst>
              <a:ext uri="{FF2B5EF4-FFF2-40B4-BE49-F238E27FC236}">
                <a16:creationId xmlns:a16="http://schemas.microsoft.com/office/drawing/2014/main" id="{91DA080E-A6BB-E444-11DF-2265EAD68BA8}"/>
              </a:ext>
            </a:extLst>
          </xdr:cNvPr>
          <xdr:cNvSpPr/>
        </xdr:nvSpPr>
        <xdr:spPr>
          <a:xfrm>
            <a:off x="5360129"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4" name="Rectangle 43">
            <a:extLst>
              <a:ext uri="{FF2B5EF4-FFF2-40B4-BE49-F238E27FC236}">
                <a16:creationId xmlns:a16="http://schemas.microsoft.com/office/drawing/2014/main" id="{96C2B913-C516-7AB7-0975-9C60B6DD2B1F}"/>
              </a:ext>
            </a:extLst>
          </xdr:cNvPr>
          <xdr:cNvSpPr/>
        </xdr:nvSpPr>
        <xdr:spPr>
          <a:xfrm>
            <a:off x="5449846" y="919486"/>
            <a:ext cx="72000" cy="71485"/>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5" name="Rectangle 44">
            <a:extLst>
              <a:ext uri="{FF2B5EF4-FFF2-40B4-BE49-F238E27FC236}">
                <a16:creationId xmlns:a16="http://schemas.microsoft.com/office/drawing/2014/main" id="{E89D7AE1-BD81-FD68-F429-235980F6F44D}"/>
              </a:ext>
            </a:extLst>
          </xdr:cNvPr>
          <xdr:cNvSpPr/>
        </xdr:nvSpPr>
        <xdr:spPr>
          <a:xfrm>
            <a:off x="5270414"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6" name="Rectangle 45">
            <a:extLst>
              <a:ext uri="{FF2B5EF4-FFF2-40B4-BE49-F238E27FC236}">
                <a16:creationId xmlns:a16="http://schemas.microsoft.com/office/drawing/2014/main" id="{7E715E49-86F8-C21B-29C4-D3D51CF56C8F}"/>
              </a:ext>
            </a:extLst>
          </xdr:cNvPr>
          <xdr:cNvSpPr/>
        </xdr:nvSpPr>
        <xdr:spPr>
          <a:xfrm>
            <a:off x="5360130"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7" name="Rectangle 46">
            <a:extLst>
              <a:ext uri="{FF2B5EF4-FFF2-40B4-BE49-F238E27FC236}">
                <a16:creationId xmlns:a16="http://schemas.microsoft.com/office/drawing/2014/main" id="{B937FBA3-1407-D9BC-876E-A82BCD0A0E4F}"/>
              </a:ext>
            </a:extLst>
          </xdr:cNvPr>
          <xdr:cNvSpPr/>
        </xdr:nvSpPr>
        <xdr:spPr>
          <a:xfrm>
            <a:off x="5449847" y="1009462"/>
            <a:ext cx="72000" cy="72000"/>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1</xdr:row>
      <xdr:rowOff>0</xdr:rowOff>
    </xdr:from>
    <xdr:to>
      <xdr:col>3</xdr:col>
      <xdr:colOff>504825</xdr:colOff>
      <xdr:row>4</xdr:row>
      <xdr:rowOff>0</xdr:rowOff>
    </xdr:to>
    <xdr:sp macro="" textlink="">
      <xdr:nvSpPr>
        <xdr:cNvPr id="3" name="Rectangle 2">
          <a:hlinkClick xmlns:r="http://schemas.openxmlformats.org/officeDocument/2006/relationships" r:id="rId6" tooltip="Visit our website"/>
          <a:extLst>
            <a:ext uri="{FF2B5EF4-FFF2-40B4-BE49-F238E27FC236}">
              <a16:creationId xmlns:a16="http://schemas.microsoft.com/office/drawing/2014/main" id="{BF288F16-4088-4E15-9A19-6137794CF1FC}"/>
            </a:ext>
          </a:extLst>
        </xdr:cNvPr>
        <xdr:cNvSpPr/>
      </xdr:nvSpPr>
      <xdr:spPr>
        <a:xfrm>
          <a:off x="133350" y="180975"/>
          <a:ext cx="1924050"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7</xdr:row>
      <xdr:rowOff>0</xdr:rowOff>
    </xdr:from>
    <xdr:to>
      <xdr:col>4</xdr:col>
      <xdr:colOff>0</xdr:colOff>
      <xdr:row>14</xdr:row>
      <xdr:rowOff>180974</xdr:rowOff>
    </xdr:to>
    <xdr:sp macro="" textlink="">
      <xdr:nvSpPr>
        <xdr:cNvPr id="2" name="Rectangle: Rounded Corners 1">
          <a:hlinkClick xmlns:r="http://schemas.openxmlformats.org/officeDocument/2006/relationships" r:id="rId1" tooltip="Topic 1: Overview of Microsoft Excel and useful shortcuts"/>
          <a:extLst>
            <a:ext uri="{FF2B5EF4-FFF2-40B4-BE49-F238E27FC236}">
              <a16:creationId xmlns:a16="http://schemas.microsoft.com/office/drawing/2014/main" id="{0047C584-15F3-4C4D-BF9B-0302884E9B24}"/>
            </a:ext>
          </a:extLst>
        </xdr:cNvPr>
        <xdr:cNvSpPr/>
      </xdr:nvSpPr>
      <xdr:spPr>
        <a:xfrm>
          <a:off x="161925" y="1381125"/>
          <a:ext cx="1809750" cy="1447799"/>
        </a:xfrm>
        <a:prstGeom prst="roundRect">
          <a:avLst>
            <a:gd name="adj" fmla="val 4481"/>
          </a:avLst>
        </a:prstGeom>
        <a:blipFill>
          <a:blip xmlns:r="http://schemas.openxmlformats.org/officeDocument/2006/relationships" r:embed="rId2">
            <a:extLst>
              <a:ext uri="{96DAC541-7B7A-43D3-8B79-37D633B846F1}">
                <asvg:svgBlip xmlns:asvg="http://schemas.microsoft.com/office/drawing/2016/SVG/main" r:embed="rId3"/>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0</xdr:colOff>
      <xdr:row>7</xdr:row>
      <xdr:rowOff>0</xdr:rowOff>
    </xdr:from>
    <xdr:to>
      <xdr:col>8</xdr:col>
      <xdr:colOff>0</xdr:colOff>
      <xdr:row>14</xdr:row>
      <xdr:rowOff>180974</xdr:rowOff>
    </xdr:to>
    <xdr:sp macro="" textlink="">
      <xdr:nvSpPr>
        <xdr:cNvPr id="3" name="Rectangle: Rounded Corners 2">
          <a:hlinkClick xmlns:r="http://schemas.openxmlformats.org/officeDocument/2006/relationships" r:id="rId4" tooltip="Topic 2: Working with Cells, Ranges and Tables"/>
          <a:extLst>
            <a:ext uri="{FF2B5EF4-FFF2-40B4-BE49-F238E27FC236}">
              <a16:creationId xmlns:a16="http://schemas.microsoft.com/office/drawing/2014/main" id="{B25CA039-DAC3-45B6-BC8C-B8796F77DA41}"/>
            </a:ext>
          </a:extLst>
        </xdr:cNvPr>
        <xdr:cNvSpPr/>
      </xdr:nvSpPr>
      <xdr:spPr>
        <a:xfrm>
          <a:off x="2219325" y="1381125"/>
          <a:ext cx="1809750" cy="1447799"/>
        </a:xfrm>
        <a:prstGeom prst="roundRect">
          <a:avLst>
            <a:gd name="adj" fmla="val 4481"/>
          </a:avLst>
        </a:prstGeom>
        <a:blipFill>
          <a:blip xmlns:r="http://schemas.openxmlformats.org/officeDocument/2006/relationships" r:embed="rId5">
            <a:extLst>
              <a:ext uri="{96DAC541-7B7A-43D3-8B79-37D633B846F1}">
                <asvg:svgBlip xmlns:asvg="http://schemas.microsoft.com/office/drawing/2016/SVG/main" r:embed="rId6"/>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0</xdr:colOff>
      <xdr:row>7</xdr:row>
      <xdr:rowOff>0</xdr:rowOff>
    </xdr:from>
    <xdr:to>
      <xdr:col>12</xdr:col>
      <xdr:colOff>0</xdr:colOff>
      <xdr:row>14</xdr:row>
      <xdr:rowOff>180974</xdr:rowOff>
    </xdr:to>
    <xdr:sp macro="" textlink="">
      <xdr:nvSpPr>
        <xdr:cNvPr id="4" name="Rectangle: Rounded Corners 3">
          <a:hlinkClick xmlns:r="http://schemas.openxmlformats.org/officeDocument/2006/relationships" r:id="rId7" tooltip="Topic 3: Aggregating Functions"/>
          <a:extLst>
            <a:ext uri="{FF2B5EF4-FFF2-40B4-BE49-F238E27FC236}">
              <a16:creationId xmlns:a16="http://schemas.microsoft.com/office/drawing/2014/main" id="{531B0DD9-3CF1-4347-B55D-876EC4A3BEF1}"/>
            </a:ext>
          </a:extLst>
        </xdr:cNvPr>
        <xdr:cNvSpPr/>
      </xdr:nvSpPr>
      <xdr:spPr>
        <a:xfrm>
          <a:off x="4276725" y="1381125"/>
          <a:ext cx="1809750" cy="1447799"/>
        </a:xfrm>
        <a:prstGeom prst="roundRect">
          <a:avLst>
            <a:gd name="adj" fmla="val 4481"/>
          </a:avLst>
        </a:prstGeom>
        <a:blipFill>
          <a:blip xmlns:r="http://schemas.openxmlformats.org/officeDocument/2006/relationships" r:embed="rId8">
            <a:extLst>
              <a:ext uri="{96DAC541-7B7A-43D3-8B79-37D633B846F1}">
                <asvg:svgBlip xmlns:asvg="http://schemas.microsoft.com/office/drawing/2016/SVG/main" r:embed="rId9"/>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0</xdr:colOff>
      <xdr:row>7</xdr:row>
      <xdr:rowOff>0</xdr:rowOff>
    </xdr:from>
    <xdr:to>
      <xdr:col>16</xdr:col>
      <xdr:colOff>0</xdr:colOff>
      <xdr:row>14</xdr:row>
      <xdr:rowOff>180974</xdr:rowOff>
    </xdr:to>
    <xdr:sp macro="" textlink="">
      <xdr:nvSpPr>
        <xdr:cNvPr id="5" name="Rectangle: Rounded Corners 4">
          <a:hlinkClick xmlns:r="http://schemas.openxmlformats.org/officeDocument/2006/relationships" r:id="rId10" tooltip="Topic 4: Lookup Functions in Excel"/>
          <a:extLst>
            <a:ext uri="{FF2B5EF4-FFF2-40B4-BE49-F238E27FC236}">
              <a16:creationId xmlns:a16="http://schemas.microsoft.com/office/drawing/2014/main" id="{B2DA79B4-1A19-4525-AA09-51FFCB307AA6}"/>
            </a:ext>
          </a:extLst>
        </xdr:cNvPr>
        <xdr:cNvSpPr/>
      </xdr:nvSpPr>
      <xdr:spPr>
        <a:xfrm>
          <a:off x="6334125" y="1381125"/>
          <a:ext cx="1809750" cy="1447799"/>
        </a:xfrm>
        <a:prstGeom prst="roundRect">
          <a:avLst>
            <a:gd name="adj" fmla="val 4481"/>
          </a:avLst>
        </a:prstGeom>
        <a:blipFill>
          <a:blip xmlns:r="http://schemas.openxmlformats.org/officeDocument/2006/relationships" r:embed="rId11">
            <a:extLst>
              <a:ext uri="{96DAC541-7B7A-43D3-8B79-37D633B846F1}">
                <asvg:svgBlip xmlns:asvg="http://schemas.microsoft.com/office/drawing/2016/SVG/main" r:embed="rId12"/>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0</xdr:colOff>
      <xdr:row>7</xdr:row>
      <xdr:rowOff>0</xdr:rowOff>
    </xdr:from>
    <xdr:to>
      <xdr:col>20</xdr:col>
      <xdr:colOff>0</xdr:colOff>
      <xdr:row>14</xdr:row>
      <xdr:rowOff>180974</xdr:rowOff>
    </xdr:to>
    <xdr:sp macro="" textlink="">
      <xdr:nvSpPr>
        <xdr:cNvPr id="18" name="Rectangle: Rounded Corners 17">
          <a:hlinkClick xmlns:r="http://schemas.openxmlformats.org/officeDocument/2006/relationships" r:id="rId13"/>
          <a:extLst>
            <a:ext uri="{FF2B5EF4-FFF2-40B4-BE49-F238E27FC236}">
              <a16:creationId xmlns:a16="http://schemas.microsoft.com/office/drawing/2014/main" id="{E48A4194-1C07-48D8-9B98-F9AD00035755}"/>
            </a:ext>
          </a:extLst>
        </xdr:cNvPr>
        <xdr:cNvSpPr/>
      </xdr:nvSpPr>
      <xdr:spPr>
        <a:xfrm>
          <a:off x="8391525" y="1381125"/>
          <a:ext cx="1809750" cy="1447799"/>
        </a:xfrm>
        <a:prstGeom prst="roundRect">
          <a:avLst>
            <a:gd name="adj" fmla="val 4481"/>
          </a:avLst>
        </a:prstGeom>
        <a:blipFill>
          <a:blip xmlns:r="http://schemas.openxmlformats.org/officeDocument/2006/relationships" r:embed="rId14">
            <a:extLst>
              <a:ext uri="{96DAC541-7B7A-43D3-8B79-37D633B846F1}">
                <asvg:svgBlip xmlns:asvg="http://schemas.microsoft.com/office/drawing/2016/SVG/main" r:embed="rId15"/>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0</xdr:colOff>
      <xdr:row>7</xdr:row>
      <xdr:rowOff>0</xdr:rowOff>
    </xdr:from>
    <xdr:to>
      <xdr:col>24</xdr:col>
      <xdr:colOff>0</xdr:colOff>
      <xdr:row>14</xdr:row>
      <xdr:rowOff>180974</xdr:rowOff>
    </xdr:to>
    <xdr:sp macro="" textlink="">
      <xdr:nvSpPr>
        <xdr:cNvPr id="19" name="Rectangle: Rounded Corners 18">
          <a:hlinkClick xmlns:r="http://schemas.openxmlformats.org/officeDocument/2006/relationships" r:id="rId16" tooltip=" "/>
          <a:extLst>
            <a:ext uri="{FF2B5EF4-FFF2-40B4-BE49-F238E27FC236}">
              <a16:creationId xmlns:a16="http://schemas.microsoft.com/office/drawing/2014/main" id="{6CF3FF3C-8048-4BF9-911F-627FAA76712F}"/>
            </a:ext>
          </a:extLst>
        </xdr:cNvPr>
        <xdr:cNvSpPr/>
      </xdr:nvSpPr>
      <xdr:spPr>
        <a:xfrm>
          <a:off x="10448925" y="1381125"/>
          <a:ext cx="1809750" cy="1447799"/>
        </a:xfrm>
        <a:prstGeom prst="roundRect">
          <a:avLst>
            <a:gd name="adj" fmla="val 4481"/>
          </a:avLst>
        </a:prstGeom>
        <a:solidFill>
          <a:srgbClr val="002645"/>
        </a:solid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0</xdr:colOff>
      <xdr:row>17</xdr:row>
      <xdr:rowOff>0</xdr:rowOff>
    </xdr:from>
    <xdr:to>
      <xdr:col>4</xdr:col>
      <xdr:colOff>0</xdr:colOff>
      <xdr:row>24</xdr:row>
      <xdr:rowOff>180974</xdr:rowOff>
    </xdr:to>
    <xdr:sp macro="" textlink="">
      <xdr:nvSpPr>
        <xdr:cNvPr id="20" name="Rectangle: Rounded Corners 19">
          <a:hlinkClick xmlns:r="http://schemas.openxmlformats.org/officeDocument/2006/relationships" r:id="rId17" tooltip="Lookup with Pictures in Excel"/>
          <a:extLst>
            <a:ext uri="{FF2B5EF4-FFF2-40B4-BE49-F238E27FC236}">
              <a16:creationId xmlns:a16="http://schemas.microsoft.com/office/drawing/2014/main" id="{02620257-1BD8-4597-9856-20FE701F2C75}"/>
            </a:ext>
          </a:extLst>
        </xdr:cNvPr>
        <xdr:cNvSpPr/>
      </xdr:nvSpPr>
      <xdr:spPr>
        <a:xfrm>
          <a:off x="161925" y="3190875"/>
          <a:ext cx="1809750" cy="1447799"/>
        </a:xfrm>
        <a:prstGeom prst="roundRect">
          <a:avLst>
            <a:gd name="adj" fmla="val 4481"/>
          </a:avLst>
        </a:prstGeom>
        <a:blipFill>
          <a:blip xmlns:r="http://schemas.openxmlformats.org/officeDocument/2006/relationships" r:embed="rId18">
            <a:extLst>
              <a:ext uri="{96DAC541-7B7A-43D3-8B79-37D633B846F1}">
                <asvg:svgBlip xmlns:asvg="http://schemas.microsoft.com/office/drawing/2016/SVG/main" r:embed="rId19"/>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0</xdr:colOff>
      <xdr:row>17</xdr:row>
      <xdr:rowOff>0</xdr:rowOff>
    </xdr:from>
    <xdr:to>
      <xdr:col>8</xdr:col>
      <xdr:colOff>0</xdr:colOff>
      <xdr:row>24</xdr:row>
      <xdr:rowOff>180974</xdr:rowOff>
    </xdr:to>
    <xdr:sp macro="" textlink="">
      <xdr:nvSpPr>
        <xdr:cNvPr id="21" name="Rectangle: Rounded Corners 20">
          <a:hlinkClick xmlns:r="http://schemas.openxmlformats.org/officeDocument/2006/relationships" r:id="rId20" tooltip="2-way lookup using XLOOKUP and INDEX and MATCH"/>
          <a:extLst>
            <a:ext uri="{FF2B5EF4-FFF2-40B4-BE49-F238E27FC236}">
              <a16:creationId xmlns:a16="http://schemas.microsoft.com/office/drawing/2014/main" id="{103DE91C-A4B9-491B-8E78-7E808497F4DF}"/>
            </a:ext>
          </a:extLst>
        </xdr:cNvPr>
        <xdr:cNvSpPr/>
      </xdr:nvSpPr>
      <xdr:spPr>
        <a:xfrm>
          <a:off x="2219325" y="3190875"/>
          <a:ext cx="1809750" cy="1447799"/>
        </a:xfrm>
        <a:prstGeom prst="roundRect">
          <a:avLst>
            <a:gd name="adj" fmla="val 4481"/>
          </a:avLst>
        </a:prstGeom>
        <a:blipFill>
          <a:blip xmlns:r="http://schemas.openxmlformats.org/officeDocument/2006/relationships" r:embed="rId21">
            <a:extLst>
              <a:ext uri="{96DAC541-7B7A-43D3-8B79-37D633B846F1}">
                <asvg:svgBlip xmlns:asvg="http://schemas.microsoft.com/office/drawing/2016/SVG/main" r:embed="rId22"/>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0</xdr:colOff>
      <xdr:row>17</xdr:row>
      <xdr:rowOff>0</xdr:rowOff>
    </xdr:from>
    <xdr:to>
      <xdr:col>12</xdr:col>
      <xdr:colOff>0</xdr:colOff>
      <xdr:row>24</xdr:row>
      <xdr:rowOff>180974</xdr:rowOff>
    </xdr:to>
    <xdr:sp macro="" textlink="">
      <xdr:nvSpPr>
        <xdr:cNvPr id="22" name="Rectangle: Rounded Corners 21">
          <a:hlinkClick xmlns:r="http://schemas.openxmlformats.org/officeDocument/2006/relationships" r:id="rId23" tooltip="Sum Values by Month with Formulas and Pivot Tables"/>
          <a:extLst>
            <a:ext uri="{FF2B5EF4-FFF2-40B4-BE49-F238E27FC236}">
              <a16:creationId xmlns:a16="http://schemas.microsoft.com/office/drawing/2014/main" id="{ADF1AD7B-2C70-4F11-B1D5-D270E3B62858}"/>
            </a:ext>
          </a:extLst>
        </xdr:cNvPr>
        <xdr:cNvSpPr/>
      </xdr:nvSpPr>
      <xdr:spPr>
        <a:xfrm>
          <a:off x="4276725" y="3190875"/>
          <a:ext cx="1809750" cy="1447799"/>
        </a:xfrm>
        <a:prstGeom prst="roundRect">
          <a:avLst>
            <a:gd name="adj" fmla="val 4481"/>
          </a:avLst>
        </a:prstGeom>
        <a:blipFill>
          <a:blip xmlns:r="http://schemas.openxmlformats.org/officeDocument/2006/relationships" r:embed="rId24">
            <a:extLst>
              <a:ext uri="{96DAC541-7B7A-43D3-8B79-37D633B846F1}">
                <asvg:svgBlip xmlns:asvg="http://schemas.microsoft.com/office/drawing/2016/SVG/main" r:embed="rId25"/>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0</xdr:colOff>
      <xdr:row>17</xdr:row>
      <xdr:rowOff>0</xdr:rowOff>
    </xdr:from>
    <xdr:to>
      <xdr:col>16</xdr:col>
      <xdr:colOff>0</xdr:colOff>
      <xdr:row>24</xdr:row>
      <xdr:rowOff>180974</xdr:rowOff>
    </xdr:to>
    <xdr:sp macro="" textlink="">
      <xdr:nvSpPr>
        <xdr:cNvPr id="23" name="Rectangle: Rounded Corners 22">
          <a:hlinkClick xmlns:r="http://schemas.openxmlformats.org/officeDocument/2006/relationships" r:id="rId26" tooltip="Simulate Calculations using Goal Seek and Data Tables"/>
          <a:extLst>
            <a:ext uri="{FF2B5EF4-FFF2-40B4-BE49-F238E27FC236}">
              <a16:creationId xmlns:a16="http://schemas.microsoft.com/office/drawing/2014/main" id="{F97076E3-4BC0-49F2-A3AB-0369D565FE82}"/>
            </a:ext>
          </a:extLst>
        </xdr:cNvPr>
        <xdr:cNvSpPr/>
      </xdr:nvSpPr>
      <xdr:spPr>
        <a:xfrm>
          <a:off x="6334125" y="3190875"/>
          <a:ext cx="1809750" cy="1447799"/>
        </a:xfrm>
        <a:prstGeom prst="roundRect">
          <a:avLst>
            <a:gd name="adj" fmla="val 4481"/>
          </a:avLst>
        </a:prstGeom>
        <a:blipFill>
          <a:blip xmlns:r="http://schemas.openxmlformats.org/officeDocument/2006/relationships" r:embed="rId27">
            <a:extLst>
              <a:ext uri="{96DAC541-7B7A-43D3-8B79-37D633B846F1}">
                <asvg:svgBlip xmlns:asvg="http://schemas.microsoft.com/office/drawing/2016/SVG/main" r:embed="rId28"/>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0</xdr:colOff>
      <xdr:row>17</xdr:row>
      <xdr:rowOff>0</xdr:rowOff>
    </xdr:from>
    <xdr:to>
      <xdr:col>20</xdr:col>
      <xdr:colOff>0</xdr:colOff>
      <xdr:row>24</xdr:row>
      <xdr:rowOff>180974</xdr:rowOff>
    </xdr:to>
    <xdr:sp macro="" textlink="">
      <xdr:nvSpPr>
        <xdr:cNvPr id="24" name="Rectangle: Rounded Corners 23">
          <a:hlinkClick xmlns:r="http://schemas.openxmlformats.org/officeDocument/2006/relationships" r:id="rId29" tooltip="Highlight the Maximum Value in a Dynamic Chart"/>
          <a:extLst>
            <a:ext uri="{FF2B5EF4-FFF2-40B4-BE49-F238E27FC236}">
              <a16:creationId xmlns:a16="http://schemas.microsoft.com/office/drawing/2014/main" id="{1436ABF5-9BB4-471F-AA80-DD53978CED3E}"/>
            </a:ext>
          </a:extLst>
        </xdr:cNvPr>
        <xdr:cNvSpPr/>
      </xdr:nvSpPr>
      <xdr:spPr>
        <a:xfrm>
          <a:off x="8391525" y="3190875"/>
          <a:ext cx="1809750" cy="1447799"/>
        </a:xfrm>
        <a:prstGeom prst="roundRect">
          <a:avLst>
            <a:gd name="adj" fmla="val 4481"/>
          </a:avLst>
        </a:prstGeom>
        <a:blipFill>
          <a:blip xmlns:r="http://schemas.openxmlformats.org/officeDocument/2006/relationships" r:embed="rId30">
            <a:extLst>
              <a:ext uri="{96DAC541-7B7A-43D3-8B79-37D633B846F1}">
                <asvg:svgBlip xmlns:asvg="http://schemas.microsoft.com/office/drawing/2016/SVG/main" r:embed="rId31"/>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0</xdr:colOff>
      <xdr:row>17</xdr:row>
      <xdr:rowOff>0</xdr:rowOff>
    </xdr:from>
    <xdr:to>
      <xdr:col>24</xdr:col>
      <xdr:colOff>0</xdr:colOff>
      <xdr:row>24</xdr:row>
      <xdr:rowOff>180974</xdr:rowOff>
    </xdr:to>
    <xdr:sp macro="" textlink="">
      <xdr:nvSpPr>
        <xdr:cNvPr id="25" name="Rectangle: Rounded Corners 24">
          <a:hlinkClick xmlns:r="http://schemas.openxmlformats.org/officeDocument/2006/relationships" r:id="rId32" tooltip="Build interactive charts with Form Controls"/>
          <a:extLst>
            <a:ext uri="{FF2B5EF4-FFF2-40B4-BE49-F238E27FC236}">
              <a16:creationId xmlns:a16="http://schemas.microsoft.com/office/drawing/2014/main" id="{E334128D-2E9C-45A5-8047-9465680B3AF9}"/>
            </a:ext>
          </a:extLst>
        </xdr:cNvPr>
        <xdr:cNvSpPr/>
      </xdr:nvSpPr>
      <xdr:spPr>
        <a:xfrm>
          <a:off x="10448925" y="3190875"/>
          <a:ext cx="1809750" cy="1447799"/>
        </a:xfrm>
        <a:prstGeom prst="roundRect">
          <a:avLst>
            <a:gd name="adj" fmla="val 4481"/>
          </a:avLst>
        </a:prstGeom>
        <a:blipFill>
          <a:blip xmlns:r="http://schemas.openxmlformats.org/officeDocument/2006/relationships" r:embed="rId33">
            <a:extLst>
              <a:ext uri="{96DAC541-7B7A-43D3-8B79-37D633B846F1}">
                <asvg:svgBlip xmlns:asvg="http://schemas.microsoft.com/office/drawing/2016/SVG/main" r:embed="rId34"/>
              </a:ext>
            </a:extLst>
          </a:blip>
          <a:stretch>
            <a:fillRect/>
          </a:stretch>
        </a:blipFill>
        <a:ln w="1587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19</xdr:col>
      <xdr:colOff>0</xdr:colOff>
      <xdr:row>1</xdr:row>
      <xdr:rowOff>47627</xdr:rowOff>
    </xdr:from>
    <xdr:to>
      <xdr:col>20</xdr:col>
      <xdr:colOff>171444</xdr:colOff>
      <xdr:row>1</xdr:row>
      <xdr:rowOff>324077</xdr:rowOff>
    </xdr:to>
    <xdr:grpSp>
      <xdr:nvGrpSpPr>
        <xdr:cNvPr id="6" name="Group 5">
          <a:hlinkClick xmlns:r="http://schemas.openxmlformats.org/officeDocument/2006/relationships" r:id="rId35" tooltip="Go to Cover page"/>
          <a:extLst>
            <a:ext uri="{FF2B5EF4-FFF2-40B4-BE49-F238E27FC236}">
              <a16:creationId xmlns:a16="http://schemas.microsoft.com/office/drawing/2014/main" id="{CC25FC7C-1621-401C-8136-EEB8E18FE782}"/>
            </a:ext>
          </a:extLst>
        </xdr:cNvPr>
        <xdr:cNvGrpSpPr/>
      </xdr:nvGrpSpPr>
      <xdr:grpSpPr>
        <a:xfrm>
          <a:off x="9886950" y="225427"/>
          <a:ext cx="990594" cy="276450"/>
          <a:chOff x="3615235" y="2135609"/>
          <a:chExt cx="1011478" cy="463990"/>
        </a:xfrm>
      </xdr:grpSpPr>
      <xdr:sp macro="" textlink="">
        <xdr:nvSpPr>
          <xdr:cNvPr id="7" name="Rectangle 6">
            <a:extLst>
              <a:ext uri="{FF2B5EF4-FFF2-40B4-BE49-F238E27FC236}">
                <a16:creationId xmlns:a16="http://schemas.microsoft.com/office/drawing/2014/main" id="{E0B68FAD-6DB3-B95E-60A8-381C75042A0C}"/>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chemeClr val="accent1">
                  <a:lumMod val="50000"/>
                </a:schemeClr>
              </a:solidFill>
            </a:endParaRPr>
          </a:p>
        </xdr:txBody>
      </xdr:sp>
      <xdr:sp macro="" textlink="">
        <xdr:nvSpPr>
          <xdr:cNvPr id="8" name="Graphic 3" descr="Back with solid fill">
            <a:extLst>
              <a:ext uri="{FF2B5EF4-FFF2-40B4-BE49-F238E27FC236}">
                <a16:creationId xmlns:a16="http://schemas.microsoft.com/office/drawing/2014/main" id="{962D633D-60D9-7BD8-5369-130FAC0786D1}"/>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chemeClr val="accent1">
              <a:lumMod val="50000"/>
            </a:schemeClr>
          </a:solidFill>
          <a:ln w="9525" cap="flat">
            <a:noFill/>
            <a:prstDash val="solid"/>
            <a:miter/>
          </a:ln>
        </xdr:spPr>
        <xdr:txBody>
          <a:bodyPr rtlCol="0" anchor="ctr"/>
          <a:lstStyle/>
          <a:p>
            <a:endParaRPr lang="en-GH">
              <a:solidFill>
                <a:schemeClr val="accent1">
                  <a:lumMod val="50000"/>
                </a:schemeClr>
              </a:solidFill>
            </a:endParaRPr>
          </a:p>
        </xdr:txBody>
      </xdr:sp>
      <xdr:sp macro="" textlink="">
        <xdr:nvSpPr>
          <xdr:cNvPr id="9" name="TextBox 8">
            <a:extLst>
              <a:ext uri="{FF2B5EF4-FFF2-40B4-BE49-F238E27FC236}">
                <a16:creationId xmlns:a16="http://schemas.microsoft.com/office/drawing/2014/main" id="{B6151E64-38D5-CDB1-92D4-630EB3A76DDD}"/>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accent1">
                    <a:lumMod val="50000"/>
                  </a:schemeClr>
                </a:solidFill>
                <a:latin typeface="Comic Sans MS" panose="030F0702030302020204" pitchFamily="66" charset="0"/>
              </a:rPr>
              <a:t>Cover page</a:t>
            </a:r>
          </a:p>
        </xdr:txBody>
      </xdr:sp>
    </xdr:grpSp>
    <xdr:clientData/>
  </xdr:twoCellAnchor>
  <xdr:twoCellAnchor>
    <xdr:from>
      <xdr:col>22</xdr:col>
      <xdr:colOff>386558</xdr:colOff>
      <xdr:row>1</xdr:row>
      <xdr:rowOff>2</xdr:rowOff>
    </xdr:from>
    <xdr:to>
      <xdr:col>23</xdr:col>
      <xdr:colOff>193894</xdr:colOff>
      <xdr:row>2</xdr:row>
      <xdr:rowOff>25556</xdr:rowOff>
    </xdr:to>
    <xdr:grpSp>
      <xdr:nvGrpSpPr>
        <xdr:cNvPr id="10" name="Group 9">
          <a:hlinkClick xmlns:r="http://schemas.openxmlformats.org/officeDocument/2006/relationships" r:id="rId36" tooltip="Go to Previous page"/>
          <a:extLst>
            <a:ext uri="{FF2B5EF4-FFF2-40B4-BE49-F238E27FC236}">
              <a16:creationId xmlns:a16="http://schemas.microsoft.com/office/drawing/2014/main" id="{80A026F5-C5A1-4774-BF7F-F347476422F0}"/>
            </a:ext>
          </a:extLst>
        </xdr:cNvPr>
        <xdr:cNvGrpSpPr/>
      </xdr:nvGrpSpPr>
      <xdr:grpSpPr>
        <a:xfrm>
          <a:off x="11613358" y="177802"/>
          <a:ext cx="626486" cy="355754"/>
          <a:chOff x="3207261" y="2135607"/>
          <a:chExt cx="689910" cy="602421"/>
        </a:xfrm>
      </xdr:grpSpPr>
      <xdr:sp macro="" textlink="">
        <xdr:nvSpPr>
          <xdr:cNvPr id="11" name="Rectangle 10">
            <a:extLst>
              <a:ext uri="{FF2B5EF4-FFF2-40B4-BE49-F238E27FC236}">
                <a16:creationId xmlns:a16="http://schemas.microsoft.com/office/drawing/2014/main" id="{8081B9FD-E3EE-8D7D-4FF2-DB958447C83D}"/>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2" name="Graphic 3" descr="Back with solid fill">
            <a:extLst>
              <a:ext uri="{FF2B5EF4-FFF2-40B4-BE49-F238E27FC236}">
                <a16:creationId xmlns:a16="http://schemas.microsoft.com/office/drawing/2014/main" id="{AD675490-6D01-5DCF-FA6C-4809804FEAD1}"/>
              </a:ext>
            </a:extLst>
          </xdr:cNvPr>
          <xdr:cNvSpPr/>
        </xdr:nvSpPr>
        <xdr:spPr>
          <a:xfrm flipH="1">
            <a:off x="3207261" y="2194483"/>
            <a:ext cx="633176" cy="483375"/>
          </a:xfrm>
          <a:prstGeom prst="rightArrow">
            <a:avLst>
              <a:gd name="adj1" fmla="val 62251"/>
              <a:gd name="adj2" fmla="val 34815"/>
            </a:avLst>
          </a:prstGeom>
          <a:solidFill>
            <a:schemeClr val="accent1">
              <a:lumMod val="50000"/>
            </a:schemeClr>
          </a:solidFill>
          <a:ln w="9525" cap="flat">
            <a:noFill/>
            <a:prstDash val="solid"/>
            <a:miter/>
          </a:ln>
        </xdr:spPr>
        <xdr:txBody>
          <a:bodyPr rtlCol="0" anchor="ctr"/>
          <a:lstStyle/>
          <a:p>
            <a:endParaRPr lang="en-GH"/>
          </a:p>
        </xdr:txBody>
      </xdr:sp>
      <xdr:sp macro="" textlink="">
        <xdr:nvSpPr>
          <xdr:cNvPr id="13" name="TextBox 12">
            <a:extLst>
              <a:ext uri="{FF2B5EF4-FFF2-40B4-BE49-F238E27FC236}">
                <a16:creationId xmlns:a16="http://schemas.microsoft.com/office/drawing/2014/main" id="{A1AA5F09-1447-8895-EEF3-A14BAA7274A7}"/>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Previous</a:t>
            </a:r>
          </a:p>
        </xdr:txBody>
      </xdr:sp>
    </xdr:grpSp>
    <xdr:clientData/>
  </xdr:twoCellAnchor>
  <xdr:twoCellAnchor>
    <xdr:from>
      <xdr:col>23</xdr:col>
      <xdr:colOff>422024</xdr:colOff>
      <xdr:row>1</xdr:row>
      <xdr:rowOff>0</xdr:rowOff>
    </xdr:from>
    <xdr:to>
      <xdr:col>24</xdr:col>
      <xdr:colOff>200019</xdr:colOff>
      <xdr:row>2</xdr:row>
      <xdr:rowOff>25554</xdr:rowOff>
    </xdr:to>
    <xdr:grpSp>
      <xdr:nvGrpSpPr>
        <xdr:cNvPr id="14" name="Group 13">
          <a:hlinkClick xmlns:r="http://schemas.openxmlformats.org/officeDocument/2006/relationships" r:id="rId37" tooltip="Go to Next page"/>
          <a:extLst>
            <a:ext uri="{FF2B5EF4-FFF2-40B4-BE49-F238E27FC236}">
              <a16:creationId xmlns:a16="http://schemas.microsoft.com/office/drawing/2014/main" id="{BAE82A8D-7A5A-4CAC-9BD4-E17B03D0AAE2}"/>
            </a:ext>
          </a:extLst>
        </xdr:cNvPr>
        <xdr:cNvGrpSpPr/>
      </xdr:nvGrpSpPr>
      <xdr:grpSpPr>
        <a:xfrm rot="10800000">
          <a:off x="12467974" y="177800"/>
          <a:ext cx="597145" cy="355754"/>
          <a:chOff x="3185180" y="2135611"/>
          <a:chExt cx="648224" cy="602421"/>
        </a:xfrm>
      </xdr:grpSpPr>
      <xdr:sp macro="" textlink="">
        <xdr:nvSpPr>
          <xdr:cNvPr id="15" name="Rectangle 14">
            <a:extLst>
              <a:ext uri="{FF2B5EF4-FFF2-40B4-BE49-F238E27FC236}">
                <a16:creationId xmlns:a16="http://schemas.microsoft.com/office/drawing/2014/main" id="{E4E599CC-C03F-5A08-6713-EF34C931ED8B}"/>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6" name="Graphic 3" descr="Back with solid fill">
            <a:extLst>
              <a:ext uri="{FF2B5EF4-FFF2-40B4-BE49-F238E27FC236}">
                <a16:creationId xmlns:a16="http://schemas.microsoft.com/office/drawing/2014/main" id="{F272EDFA-FE82-E576-C8A0-7764E233E944}"/>
              </a:ext>
            </a:extLst>
          </xdr:cNvPr>
          <xdr:cNvSpPr/>
        </xdr:nvSpPr>
        <xdr:spPr>
          <a:xfrm flipH="1">
            <a:off x="3207263" y="2194483"/>
            <a:ext cx="626141" cy="483375"/>
          </a:xfrm>
          <a:prstGeom prst="rightArrow">
            <a:avLst>
              <a:gd name="adj1" fmla="val 62251"/>
              <a:gd name="adj2" fmla="val 34815"/>
            </a:avLst>
          </a:prstGeom>
          <a:solidFill>
            <a:schemeClr val="accent1">
              <a:lumMod val="50000"/>
            </a:schemeClr>
          </a:solidFill>
          <a:ln w="9525" cap="flat">
            <a:noFill/>
            <a:prstDash val="solid"/>
            <a:miter/>
          </a:ln>
        </xdr:spPr>
        <xdr:txBody>
          <a:bodyPr rtlCol="0" anchor="ctr"/>
          <a:lstStyle/>
          <a:p>
            <a:endParaRPr lang="en-GH">
              <a:solidFill>
                <a:schemeClr val="bg1"/>
              </a:solidFill>
            </a:endParaRPr>
          </a:p>
        </xdr:txBody>
      </xdr:sp>
      <xdr:sp macro="" textlink="">
        <xdr:nvSpPr>
          <xdr:cNvPr id="17" name="TextBox 16">
            <a:extLst>
              <a:ext uri="{FF2B5EF4-FFF2-40B4-BE49-F238E27FC236}">
                <a16:creationId xmlns:a16="http://schemas.microsoft.com/office/drawing/2014/main" id="{45FB234A-1FCD-E88F-7607-30B944F0D652}"/>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Next</a:t>
            </a:r>
          </a:p>
        </xdr:txBody>
      </xdr:sp>
    </xdr:grpSp>
    <xdr:clientData/>
  </xdr:twoCellAnchor>
  <xdr:twoCellAnchor>
    <xdr:from>
      <xdr:col>21</xdr:col>
      <xdr:colOff>151923</xdr:colOff>
      <xdr:row>1</xdr:row>
      <xdr:rowOff>44606</xdr:rowOff>
    </xdr:from>
    <xdr:to>
      <xdr:col>22</xdr:col>
      <xdr:colOff>158429</xdr:colOff>
      <xdr:row>1</xdr:row>
      <xdr:rowOff>296878</xdr:rowOff>
    </xdr:to>
    <xdr:grpSp>
      <xdr:nvGrpSpPr>
        <xdr:cNvPr id="26" name="Group 25">
          <a:hlinkClick xmlns:r="http://schemas.openxmlformats.org/officeDocument/2006/relationships" r:id="rId16" tooltip="Go to Gallery"/>
          <a:extLst>
            <a:ext uri="{FF2B5EF4-FFF2-40B4-BE49-F238E27FC236}">
              <a16:creationId xmlns:a16="http://schemas.microsoft.com/office/drawing/2014/main" id="{E36AFD35-B02E-4F94-A2B8-115220B1D78B}"/>
            </a:ext>
          </a:extLst>
        </xdr:cNvPr>
        <xdr:cNvGrpSpPr/>
      </xdr:nvGrpSpPr>
      <xdr:grpSpPr>
        <a:xfrm>
          <a:off x="11118373" y="222406"/>
          <a:ext cx="266856" cy="252272"/>
          <a:chOff x="5270413" y="829190"/>
          <a:chExt cx="251434" cy="252272"/>
        </a:xfrm>
        <a:solidFill>
          <a:schemeClr val="accent1">
            <a:lumMod val="50000"/>
          </a:schemeClr>
        </a:solidFill>
      </xdr:grpSpPr>
      <xdr:sp macro="" textlink="">
        <xdr:nvSpPr>
          <xdr:cNvPr id="27" name="Rectangle 26">
            <a:extLst>
              <a:ext uri="{FF2B5EF4-FFF2-40B4-BE49-F238E27FC236}">
                <a16:creationId xmlns:a16="http://schemas.microsoft.com/office/drawing/2014/main" id="{64029FF4-683F-B587-EC35-815AF2D37C1A}"/>
              </a:ext>
            </a:extLst>
          </xdr:cNvPr>
          <xdr:cNvSpPr/>
        </xdr:nvSpPr>
        <xdr:spPr>
          <a:xfrm>
            <a:off x="5270414"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F11182DA-4AD3-8573-FE88-1361B3926C7B}"/>
              </a:ext>
            </a:extLst>
          </xdr:cNvPr>
          <xdr:cNvSpPr/>
        </xdr:nvSpPr>
        <xdr:spPr>
          <a:xfrm>
            <a:off x="5360130"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0EFE7E97-4678-3E9B-DC92-FDB403C4E6A0}"/>
              </a:ext>
            </a:extLst>
          </xdr:cNvPr>
          <xdr:cNvSpPr/>
        </xdr:nvSpPr>
        <xdr:spPr>
          <a:xfrm>
            <a:off x="5449847"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736F3052-7B01-CD42-35E3-3809C1EC2F0C}"/>
              </a:ext>
            </a:extLst>
          </xdr:cNvPr>
          <xdr:cNvSpPr/>
        </xdr:nvSpPr>
        <xdr:spPr>
          <a:xfrm>
            <a:off x="5270413"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38837D5E-7AFB-212C-2260-18E0E4D95A07}"/>
              </a:ext>
            </a:extLst>
          </xdr:cNvPr>
          <xdr:cNvSpPr/>
        </xdr:nvSpPr>
        <xdr:spPr>
          <a:xfrm>
            <a:off x="5360129"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320BD6D6-245D-6699-E09E-3F69D016ECDC}"/>
              </a:ext>
            </a:extLst>
          </xdr:cNvPr>
          <xdr:cNvSpPr/>
        </xdr:nvSpPr>
        <xdr:spPr>
          <a:xfrm>
            <a:off x="5449846"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328F86CD-2A52-29B4-A08B-00DF805C9424}"/>
              </a:ext>
            </a:extLst>
          </xdr:cNvPr>
          <xdr:cNvSpPr/>
        </xdr:nvSpPr>
        <xdr:spPr>
          <a:xfrm>
            <a:off x="5270414"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80767833-2DF6-2D0D-9FFE-C7D28B83FA3C}"/>
              </a:ext>
            </a:extLst>
          </xdr:cNvPr>
          <xdr:cNvSpPr/>
        </xdr:nvSpPr>
        <xdr:spPr>
          <a:xfrm>
            <a:off x="5360130"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 name="Rectangle 34">
            <a:extLst>
              <a:ext uri="{FF2B5EF4-FFF2-40B4-BE49-F238E27FC236}">
                <a16:creationId xmlns:a16="http://schemas.microsoft.com/office/drawing/2014/main" id="{DA03B0C1-8950-8CC1-9050-06A97926792A}"/>
              </a:ext>
            </a:extLst>
          </xdr:cNvPr>
          <xdr:cNvSpPr/>
        </xdr:nvSpPr>
        <xdr:spPr>
          <a:xfrm>
            <a:off x="5449847"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200025</xdr:colOff>
      <xdr:row>0</xdr:row>
      <xdr:rowOff>76200</xdr:rowOff>
    </xdr:from>
    <xdr:to>
      <xdr:col>24</xdr:col>
      <xdr:colOff>38101</xdr:colOff>
      <xdr:row>23</xdr:row>
      <xdr:rowOff>13136</xdr:rowOff>
    </xdr:to>
    <xdr:grpSp>
      <xdr:nvGrpSpPr>
        <xdr:cNvPr id="39" name="Group 38">
          <a:extLst>
            <a:ext uri="{FF2B5EF4-FFF2-40B4-BE49-F238E27FC236}">
              <a16:creationId xmlns:a16="http://schemas.microsoft.com/office/drawing/2014/main" id="{C0C9CF9A-2011-B4A2-B1AB-12D37A48A027}"/>
            </a:ext>
          </a:extLst>
        </xdr:cNvPr>
        <xdr:cNvGrpSpPr/>
      </xdr:nvGrpSpPr>
      <xdr:grpSpPr>
        <a:xfrm>
          <a:off x="371475" y="76200"/>
          <a:ext cx="12531726" cy="4451786"/>
          <a:chOff x="304800" y="76200"/>
          <a:chExt cx="11934826" cy="3975536"/>
        </a:xfrm>
      </xdr:grpSpPr>
      <xdr:pic>
        <xdr:nvPicPr>
          <xdr:cNvPr id="36" name="Picture 35">
            <a:extLst>
              <a:ext uri="{FF2B5EF4-FFF2-40B4-BE49-F238E27FC236}">
                <a16:creationId xmlns:a16="http://schemas.microsoft.com/office/drawing/2014/main" id="{C0DFCDAB-1FDF-2C7E-43E1-39F7085E0B36}"/>
              </a:ext>
            </a:extLst>
          </xdr:cNvPr>
          <xdr:cNvPicPr>
            <a:picLocks noChangeAspect="1"/>
          </xdr:cNvPicPr>
        </xdr:nvPicPr>
        <xdr:blipFill>
          <a:blip xmlns:r="http://schemas.openxmlformats.org/officeDocument/2006/relationships" r:embed="rId1"/>
          <a:stretch>
            <a:fillRect/>
          </a:stretch>
        </xdr:blipFill>
        <xdr:spPr>
          <a:xfrm>
            <a:off x="304800" y="76200"/>
            <a:ext cx="3971925" cy="3971925"/>
          </a:xfrm>
          <a:prstGeom prst="rect">
            <a:avLst/>
          </a:prstGeom>
        </xdr:spPr>
      </xdr:pic>
      <xdr:pic>
        <xdr:nvPicPr>
          <xdr:cNvPr id="37" name="Picture 36">
            <a:extLst>
              <a:ext uri="{FF2B5EF4-FFF2-40B4-BE49-F238E27FC236}">
                <a16:creationId xmlns:a16="http://schemas.microsoft.com/office/drawing/2014/main" id="{143CA5FB-CEA0-F753-8505-82079E86B46D}"/>
              </a:ext>
            </a:extLst>
          </xdr:cNvPr>
          <xdr:cNvPicPr>
            <a:picLocks noChangeAspect="1"/>
          </xdr:cNvPicPr>
        </xdr:nvPicPr>
        <xdr:blipFill>
          <a:blip xmlns:r="http://schemas.openxmlformats.org/officeDocument/2006/relationships" r:embed="rId2"/>
          <a:stretch>
            <a:fillRect/>
          </a:stretch>
        </xdr:blipFill>
        <xdr:spPr>
          <a:xfrm>
            <a:off x="4276725" y="76200"/>
            <a:ext cx="4000500" cy="3975536"/>
          </a:xfrm>
          <a:prstGeom prst="rect">
            <a:avLst/>
          </a:prstGeom>
        </xdr:spPr>
      </xdr:pic>
      <xdr:pic>
        <xdr:nvPicPr>
          <xdr:cNvPr id="38" name="Picture 37">
            <a:extLst>
              <a:ext uri="{FF2B5EF4-FFF2-40B4-BE49-F238E27FC236}">
                <a16:creationId xmlns:a16="http://schemas.microsoft.com/office/drawing/2014/main" id="{7453266F-8F93-6849-BF35-5AA95636BB68}"/>
              </a:ext>
            </a:extLst>
          </xdr:cNvPr>
          <xdr:cNvPicPr>
            <a:picLocks noChangeAspect="1"/>
          </xdr:cNvPicPr>
        </xdr:nvPicPr>
        <xdr:blipFill rotWithShape="1">
          <a:blip xmlns:r="http://schemas.openxmlformats.org/officeDocument/2006/relationships" r:embed="rId3"/>
          <a:srcRect t="1440"/>
          <a:stretch/>
        </xdr:blipFill>
        <xdr:spPr>
          <a:xfrm>
            <a:off x="8277226" y="76200"/>
            <a:ext cx="3962400" cy="3968620"/>
          </a:xfrm>
          <a:prstGeom prst="rect">
            <a:avLst/>
          </a:prstGeom>
        </xdr:spPr>
      </xdr:pic>
    </xdr:grpSp>
    <xdr:clientData/>
  </xdr:twoCellAnchor>
  <xdr:twoCellAnchor>
    <xdr:from>
      <xdr:col>16</xdr:col>
      <xdr:colOff>190499</xdr:colOff>
      <xdr:row>0</xdr:row>
      <xdr:rowOff>76200</xdr:rowOff>
    </xdr:from>
    <xdr:to>
      <xdr:col>24</xdr:col>
      <xdr:colOff>38100</xdr:colOff>
      <xdr:row>3</xdr:row>
      <xdr:rowOff>38100</xdr:rowOff>
    </xdr:to>
    <xdr:sp macro="" textlink="">
      <xdr:nvSpPr>
        <xdr:cNvPr id="41" name="Rectangle 40">
          <a:extLst>
            <a:ext uri="{FF2B5EF4-FFF2-40B4-BE49-F238E27FC236}">
              <a16:creationId xmlns:a16="http://schemas.microsoft.com/office/drawing/2014/main" id="{171DBF1D-3B31-2A62-0A49-706823B3EB5A}"/>
            </a:ext>
          </a:extLst>
        </xdr:cNvPr>
        <xdr:cNvSpPr/>
      </xdr:nvSpPr>
      <xdr:spPr>
        <a:xfrm>
          <a:off x="8334374" y="76200"/>
          <a:ext cx="3962401" cy="600075"/>
        </a:xfrm>
        <a:prstGeom prst="rect">
          <a:avLst/>
        </a:prstGeom>
        <a:solidFill>
          <a:srgbClr val="06577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18</xdr:col>
      <xdr:colOff>533400</xdr:colOff>
      <xdr:row>1</xdr:row>
      <xdr:rowOff>38102</xdr:rowOff>
    </xdr:from>
    <xdr:to>
      <xdr:col>19</xdr:col>
      <xdr:colOff>704844</xdr:colOff>
      <xdr:row>1</xdr:row>
      <xdr:rowOff>314552</xdr:rowOff>
    </xdr:to>
    <xdr:grpSp>
      <xdr:nvGrpSpPr>
        <xdr:cNvPr id="14" name="Group 13">
          <a:hlinkClick xmlns:r="http://schemas.openxmlformats.org/officeDocument/2006/relationships" r:id="rId4" tooltip="Go to Cover page"/>
          <a:extLst>
            <a:ext uri="{FF2B5EF4-FFF2-40B4-BE49-F238E27FC236}">
              <a16:creationId xmlns:a16="http://schemas.microsoft.com/office/drawing/2014/main" id="{5B1CB3B0-10CE-4795-AED9-896F868F321A}"/>
            </a:ext>
          </a:extLst>
        </xdr:cNvPr>
        <xdr:cNvGrpSpPr/>
      </xdr:nvGrpSpPr>
      <xdr:grpSpPr>
        <a:xfrm>
          <a:off x="9601200" y="215902"/>
          <a:ext cx="990594" cy="276450"/>
          <a:chOff x="3615235" y="2135609"/>
          <a:chExt cx="1011478" cy="463990"/>
        </a:xfrm>
      </xdr:grpSpPr>
      <xdr:sp macro="" textlink="">
        <xdr:nvSpPr>
          <xdr:cNvPr id="15" name="Rectangle 14">
            <a:extLst>
              <a:ext uri="{FF2B5EF4-FFF2-40B4-BE49-F238E27FC236}">
                <a16:creationId xmlns:a16="http://schemas.microsoft.com/office/drawing/2014/main" id="{4E6FC3C2-E1FD-29F0-5B0C-18BBAFCFCEC7}"/>
              </a:ext>
            </a:extLst>
          </xdr:cNvPr>
          <xdr:cNvSpPr/>
        </xdr:nvSpPr>
        <xdr:spPr>
          <a:xfrm>
            <a:off x="3615235" y="2135609"/>
            <a:ext cx="950789" cy="45854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chemeClr val="accent1">
                  <a:lumMod val="50000"/>
                </a:schemeClr>
              </a:solidFill>
            </a:endParaRPr>
          </a:p>
        </xdr:txBody>
      </xdr:sp>
      <xdr:sp macro="" textlink="">
        <xdr:nvSpPr>
          <xdr:cNvPr id="16" name="Graphic 3" descr="Back with solid fill">
            <a:extLst>
              <a:ext uri="{FF2B5EF4-FFF2-40B4-BE49-F238E27FC236}">
                <a16:creationId xmlns:a16="http://schemas.microsoft.com/office/drawing/2014/main" id="{932FBEDC-E043-5C09-B181-3D0B0B551870}"/>
              </a:ext>
            </a:extLst>
          </xdr:cNvPr>
          <xdr:cNvSpPr/>
        </xdr:nvSpPr>
        <xdr:spPr>
          <a:xfrm flipH="1">
            <a:off x="3629961" y="2178496"/>
            <a:ext cx="389870" cy="421103"/>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ysClr val="window" lastClr="FFFFFF"/>
          </a:solidFill>
          <a:ln w="9525" cap="flat">
            <a:noFill/>
            <a:prstDash val="solid"/>
            <a:miter/>
          </a:ln>
        </xdr:spPr>
        <xdr:txBody>
          <a:bodyPr rtlCol="0" anchor="ctr"/>
          <a:lstStyle/>
          <a:p>
            <a:endParaRPr lang="en-GH">
              <a:solidFill>
                <a:schemeClr val="accent1">
                  <a:lumMod val="50000"/>
                </a:schemeClr>
              </a:solidFill>
            </a:endParaRPr>
          </a:p>
        </xdr:txBody>
      </xdr:sp>
      <xdr:sp macro="" textlink="">
        <xdr:nvSpPr>
          <xdr:cNvPr id="17" name="TextBox 16">
            <a:extLst>
              <a:ext uri="{FF2B5EF4-FFF2-40B4-BE49-F238E27FC236}">
                <a16:creationId xmlns:a16="http://schemas.microsoft.com/office/drawing/2014/main" id="{65C68E94-0561-0C98-6B90-022352077E4E}"/>
              </a:ext>
            </a:extLst>
          </xdr:cNvPr>
          <xdr:cNvSpPr txBox="1"/>
        </xdr:nvSpPr>
        <xdr:spPr>
          <a:xfrm>
            <a:off x="3883353" y="2162175"/>
            <a:ext cx="743360" cy="352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solidFill>
                <a:latin typeface="Comic Sans MS" panose="030F0702030302020204" pitchFamily="66" charset="0"/>
              </a:rPr>
              <a:t>Cover page</a:t>
            </a:r>
          </a:p>
        </xdr:txBody>
      </xdr:sp>
    </xdr:grpSp>
    <xdr:clientData/>
  </xdr:twoCellAnchor>
  <xdr:twoCellAnchor>
    <xdr:from>
      <xdr:col>22</xdr:col>
      <xdr:colOff>138908</xdr:colOff>
      <xdr:row>0</xdr:row>
      <xdr:rowOff>142877</xdr:rowOff>
    </xdr:from>
    <xdr:to>
      <xdr:col>22</xdr:col>
      <xdr:colOff>727294</xdr:colOff>
      <xdr:row>2</xdr:row>
      <xdr:rowOff>16031</xdr:rowOff>
    </xdr:to>
    <xdr:grpSp>
      <xdr:nvGrpSpPr>
        <xdr:cNvPr id="18" name="Group 17">
          <a:hlinkClick xmlns:r="http://schemas.openxmlformats.org/officeDocument/2006/relationships" r:id="rId5" tooltip="Go to Previous page"/>
          <a:extLst>
            <a:ext uri="{FF2B5EF4-FFF2-40B4-BE49-F238E27FC236}">
              <a16:creationId xmlns:a16="http://schemas.microsoft.com/office/drawing/2014/main" id="{24545A9B-C221-4D02-BBA4-80965DF4245B}"/>
            </a:ext>
          </a:extLst>
        </xdr:cNvPr>
        <xdr:cNvGrpSpPr/>
      </xdr:nvGrpSpPr>
      <xdr:grpSpPr>
        <a:xfrm>
          <a:off x="11365708" y="142877"/>
          <a:ext cx="588386" cy="381154"/>
          <a:chOff x="3207261" y="2135607"/>
          <a:chExt cx="689910" cy="602421"/>
        </a:xfrm>
      </xdr:grpSpPr>
      <xdr:sp macro="" textlink="">
        <xdr:nvSpPr>
          <xdr:cNvPr id="19" name="Rectangle 18">
            <a:extLst>
              <a:ext uri="{FF2B5EF4-FFF2-40B4-BE49-F238E27FC236}">
                <a16:creationId xmlns:a16="http://schemas.microsoft.com/office/drawing/2014/main" id="{7F30CD55-8E71-BF57-3F0A-42FC88D13026}"/>
              </a:ext>
            </a:extLst>
          </xdr:cNvPr>
          <xdr:cNvSpPr/>
        </xdr:nvSpPr>
        <xdr:spPr>
          <a:xfrm>
            <a:off x="3240399" y="2135607"/>
            <a:ext cx="556248"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0" name="Graphic 3" descr="Back with solid fill">
            <a:extLst>
              <a:ext uri="{FF2B5EF4-FFF2-40B4-BE49-F238E27FC236}">
                <a16:creationId xmlns:a16="http://schemas.microsoft.com/office/drawing/2014/main" id="{3A8EC149-AC17-F096-F41C-07C3E5CF7C69}"/>
              </a:ext>
            </a:extLst>
          </xdr:cNvPr>
          <xdr:cNvSpPr/>
        </xdr:nvSpPr>
        <xdr:spPr>
          <a:xfrm flipH="1">
            <a:off x="3207261" y="2194483"/>
            <a:ext cx="633176" cy="483375"/>
          </a:xfrm>
          <a:prstGeom prst="rightArrow">
            <a:avLst>
              <a:gd name="adj1" fmla="val 62251"/>
              <a:gd name="adj2" fmla="val 34815"/>
            </a:avLst>
          </a:prstGeom>
          <a:solidFill>
            <a:sysClr val="window" lastClr="FFFFFF"/>
          </a:solidFill>
          <a:ln w="9525" cap="flat">
            <a:noFill/>
            <a:prstDash val="solid"/>
            <a:miter/>
          </a:ln>
        </xdr:spPr>
        <xdr:txBody>
          <a:bodyPr rtlCol="0" anchor="ctr"/>
          <a:lstStyle/>
          <a:p>
            <a:endParaRPr lang="en-GH"/>
          </a:p>
        </xdr:txBody>
      </xdr:sp>
      <xdr:sp macro="" textlink="">
        <xdr:nvSpPr>
          <xdr:cNvPr id="21" name="TextBox 20">
            <a:extLst>
              <a:ext uri="{FF2B5EF4-FFF2-40B4-BE49-F238E27FC236}">
                <a16:creationId xmlns:a16="http://schemas.microsoft.com/office/drawing/2014/main" id="{8ED18241-E70E-0B8B-98A0-CBF51D6AF7BA}"/>
              </a:ext>
            </a:extLst>
          </xdr:cNvPr>
          <xdr:cNvSpPr txBox="1"/>
        </xdr:nvSpPr>
        <xdr:spPr>
          <a:xfrm>
            <a:off x="3215181" y="2226121"/>
            <a:ext cx="68199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lumMod val="50000"/>
                  </a:schemeClr>
                </a:solidFill>
                <a:latin typeface="Comic Sans MS" panose="030F0702030302020204" pitchFamily="66" charset="0"/>
              </a:rPr>
              <a:t>Previous</a:t>
            </a:r>
          </a:p>
        </xdr:txBody>
      </xdr:sp>
    </xdr:grpSp>
    <xdr:clientData/>
  </xdr:twoCellAnchor>
  <xdr:twoCellAnchor>
    <xdr:from>
      <xdr:col>23</xdr:col>
      <xdr:colOff>174374</xdr:colOff>
      <xdr:row>0</xdr:row>
      <xdr:rowOff>142875</xdr:rowOff>
    </xdr:from>
    <xdr:to>
      <xdr:col>23</xdr:col>
      <xdr:colOff>733419</xdr:colOff>
      <xdr:row>2</xdr:row>
      <xdr:rowOff>16029</xdr:rowOff>
    </xdr:to>
    <xdr:grpSp>
      <xdr:nvGrpSpPr>
        <xdr:cNvPr id="22" name="Group 21">
          <a:hlinkClick xmlns:r="http://schemas.openxmlformats.org/officeDocument/2006/relationships" r:id="rId4" tooltip="Go to Cover page"/>
          <a:extLst>
            <a:ext uri="{FF2B5EF4-FFF2-40B4-BE49-F238E27FC236}">
              <a16:creationId xmlns:a16="http://schemas.microsoft.com/office/drawing/2014/main" id="{42CB7FFA-0506-4F0E-A492-D001A53C7A9E}"/>
            </a:ext>
          </a:extLst>
        </xdr:cNvPr>
        <xdr:cNvGrpSpPr/>
      </xdr:nvGrpSpPr>
      <xdr:grpSpPr>
        <a:xfrm rot="10800000">
          <a:off x="12220324" y="142875"/>
          <a:ext cx="559045" cy="381154"/>
          <a:chOff x="3185180" y="2135611"/>
          <a:chExt cx="648224" cy="602421"/>
        </a:xfrm>
      </xdr:grpSpPr>
      <xdr:sp macro="" textlink="">
        <xdr:nvSpPr>
          <xdr:cNvPr id="23" name="Rectangle 22">
            <a:extLst>
              <a:ext uri="{FF2B5EF4-FFF2-40B4-BE49-F238E27FC236}">
                <a16:creationId xmlns:a16="http://schemas.microsoft.com/office/drawing/2014/main" id="{0908FB2F-F082-7BAF-D188-A0F6129FCB3E}"/>
              </a:ext>
            </a:extLst>
          </xdr:cNvPr>
          <xdr:cNvSpPr/>
        </xdr:nvSpPr>
        <xdr:spPr>
          <a:xfrm>
            <a:off x="3185180" y="2135611"/>
            <a:ext cx="640577" cy="602421"/>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24" name="Graphic 3" descr="Back with solid fill">
            <a:extLst>
              <a:ext uri="{FF2B5EF4-FFF2-40B4-BE49-F238E27FC236}">
                <a16:creationId xmlns:a16="http://schemas.microsoft.com/office/drawing/2014/main" id="{50DB67BD-73B2-942E-EBA2-BD8975BA7F80}"/>
              </a:ext>
            </a:extLst>
          </xdr:cNvPr>
          <xdr:cNvSpPr/>
        </xdr:nvSpPr>
        <xdr:spPr>
          <a:xfrm flipH="1">
            <a:off x="3207263" y="2194483"/>
            <a:ext cx="626141" cy="483375"/>
          </a:xfrm>
          <a:prstGeom prst="rightArrow">
            <a:avLst>
              <a:gd name="adj1" fmla="val 62251"/>
              <a:gd name="adj2" fmla="val 34815"/>
            </a:avLst>
          </a:prstGeom>
          <a:solidFill>
            <a:sysClr val="window" lastClr="FFFFFF"/>
          </a:solidFill>
          <a:ln w="9525" cap="flat">
            <a:noFill/>
            <a:prstDash val="solid"/>
            <a:miter/>
          </a:ln>
        </xdr:spPr>
        <xdr:txBody>
          <a:bodyPr rtlCol="0" anchor="ctr"/>
          <a:lstStyle/>
          <a:p>
            <a:endParaRPr lang="en-GH">
              <a:solidFill>
                <a:schemeClr val="bg1"/>
              </a:solidFill>
            </a:endParaRPr>
          </a:p>
        </xdr:txBody>
      </xdr:sp>
      <xdr:sp macro="" textlink="">
        <xdr:nvSpPr>
          <xdr:cNvPr id="25" name="TextBox 24">
            <a:extLst>
              <a:ext uri="{FF2B5EF4-FFF2-40B4-BE49-F238E27FC236}">
                <a16:creationId xmlns:a16="http://schemas.microsoft.com/office/drawing/2014/main" id="{554D80AA-3BB7-59FF-09CC-63C6815CA91A}"/>
              </a:ext>
            </a:extLst>
          </xdr:cNvPr>
          <xdr:cNvSpPr txBox="1"/>
        </xdr:nvSpPr>
        <xdr:spPr>
          <a:xfrm rot="10800000">
            <a:off x="3317712" y="2258091"/>
            <a:ext cx="508040" cy="38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aseline="0">
                <a:solidFill>
                  <a:schemeClr val="bg1">
                    <a:lumMod val="50000"/>
                  </a:schemeClr>
                </a:solidFill>
                <a:latin typeface="Comic Sans MS" panose="030F0702030302020204" pitchFamily="66" charset="0"/>
              </a:rPr>
              <a:t>End</a:t>
            </a:r>
          </a:p>
        </xdr:txBody>
      </xdr:sp>
    </xdr:grpSp>
    <xdr:clientData/>
  </xdr:twoCellAnchor>
  <xdr:twoCellAnchor>
    <xdr:from>
      <xdr:col>20</xdr:col>
      <xdr:colOff>151923</xdr:colOff>
      <xdr:row>1</xdr:row>
      <xdr:rowOff>35081</xdr:rowOff>
    </xdr:from>
    <xdr:to>
      <xdr:col>21</xdr:col>
      <xdr:colOff>158429</xdr:colOff>
      <xdr:row>1</xdr:row>
      <xdr:rowOff>287353</xdr:rowOff>
    </xdr:to>
    <xdr:grpSp>
      <xdr:nvGrpSpPr>
        <xdr:cNvPr id="26" name="Group 25">
          <a:hlinkClick xmlns:r="http://schemas.openxmlformats.org/officeDocument/2006/relationships" r:id="rId6" tooltip="Go to Gallery"/>
          <a:extLst>
            <a:ext uri="{FF2B5EF4-FFF2-40B4-BE49-F238E27FC236}">
              <a16:creationId xmlns:a16="http://schemas.microsoft.com/office/drawing/2014/main" id="{C91DDE23-B66F-4B9C-BBC6-D3AF168A9EF4}"/>
            </a:ext>
          </a:extLst>
        </xdr:cNvPr>
        <xdr:cNvGrpSpPr/>
      </xdr:nvGrpSpPr>
      <xdr:grpSpPr>
        <a:xfrm>
          <a:off x="10858023" y="212881"/>
          <a:ext cx="266856" cy="252272"/>
          <a:chOff x="5270413" y="829190"/>
          <a:chExt cx="251434" cy="252272"/>
        </a:xfrm>
        <a:solidFill>
          <a:sysClr val="window" lastClr="FFFFFF"/>
        </a:solidFill>
      </xdr:grpSpPr>
      <xdr:sp macro="" textlink="">
        <xdr:nvSpPr>
          <xdr:cNvPr id="27" name="Rectangle 26">
            <a:extLst>
              <a:ext uri="{FF2B5EF4-FFF2-40B4-BE49-F238E27FC236}">
                <a16:creationId xmlns:a16="http://schemas.microsoft.com/office/drawing/2014/main" id="{231A1A38-6765-DDDA-84A0-94AED692F864}"/>
              </a:ext>
            </a:extLst>
          </xdr:cNvPr>
          <xdr:cNvSpPr/>
        </xdr:nvSpPr>
        <xdr:spPr>
          <a:xfrm>
            <a:off x="5270414"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BBE977CE-A20B-BF9D-C5C8-C99FAB5F24C3}"/>
              </a:ext>
            </a:extLst>
          </xdr:cNvPr>
          <xdr:cNvSpPr/>
        </xdr:nvSpPr>
        <xdr:spPr>
          <a:xfrm>
            <a:off x="5360130"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Rectangle 28">
            <a:extLst>
              <a:ext uri="{FF2B5EF4-FFF2-40B4-BE49-F238E27FC236}">
                <a16:creationId xmlns:a16="http://schemas.microsoft.com/office/drawing/2014/main" id="{7D8A8D46-8213-40EE-4D43-032A85292179}"/>
              </a:ext>
            </a:extLst>
          </xdr:cNvPr>
          <xdr:cNvSpPr/>
        </xdr:nvSpPr>
        <xdr:spPr>
          <a:xfrm>
            <a:off x="5449847" y="829190"/>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Rectangle 29">
            <a:extLst>
              <a:ext uri="{FF2B5EF4-FFF2-40B4-BE49-F238E27FC236}">
                <a16:creationId xmlns:a16="http://schemas.microsoft.com/office/drawing/2014/main" id="{E3DA8952-39E6-9463-19E6-6FE5BD04D018}"/>
              </a:ext>
            </a:extLst>
          </xdr:cNvPr>
          <xdr:cNvSpPr/>
        </xdr:nvSpPr>
        <xdr:spPr>
          <a:xfrm>
            <a:off x="5270413"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Rectangle 30">
            <a:extLst>
              <a:ext uri="{FF2B5EF4-FFF2-40B4-BE49-F238E27FC236}">
                <a16:creationId xmlns:a16="http://schemas.microsoft.com/office/drawing/2014/main" id="{98B53451-8499-0319-38CF-0AC373856E5C}"/>
              </a:ext>
            </a:extLst>
          </xdr:cNvPr>
          <xdr:cNvSpPr/>
        </xdr:nvSpPr>
        <xdr:spPr>
          <a:xfrm>
            <a:off x="5360129"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Rectangle 31">
            <a:extLst>
              <a:ext uri="{FF2B5EF4-FFF2-40B4-BE49-F238E27FC236}">
                <a16:creationId xmlns:a16="http://schemas.microsoft.com/office/drawing/2014/main" id="{D42A8ECB-F741-7793-52A3-99EF32AFB0ED}"/>
              </a:ext>
            </a:extLst>
          </xdr:cNvPr>
          <xdr:cNvSpPr/>
        </xdr:nvSpPr>
        <xdr:spPr>
          <a:xfrm>
            <a:off x="5449846" y="919486"/>
            <a:ext cx="72000" cy="71485"/>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Rectangle 32">
            <a:extLst>
              <a:ext uri="{FF2B5EF4-FFF2-40B4-BE49-F238E27FC236}">
                <a16:creationId xmlns:a16="http://schemas.microsoft.com/office/drawing/2014/main" id="{59C237FC-42CD-940C-CC9D-39E4223C9D4A}"/>
              </a:ext>
            </a:extLst>
          </xdr:cNvPr>
          <xdr:cNvSpPr/>
        </xdr:nvSpPr>
        <xdr:spPr>
          <a:xfrm>
            <a:off x="5270414"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33">
            <a:extLst>
              <a:ext uri="{FF2B5EF4-FFF2-40B4-BE49-F238E27FC236}">
                <a16:creationId xmlns:a16="http://schemas.microsoft.com/office/drawing/2014/main" id="{D89BDC9B-F1B6-2D48-DB12-8C9F7D9A8194}"/>
              </a:ext>
            </a:extLst>
          </xdr:cNvPr>
          <xdr:cNvSpPr/>
        </xdr:nvSpPr>
        <xdr:spPr>
          <a:xfrm>
            <a:off x="5360130"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 name="Rectangle 34">
            <a:extLst>
              <a:ext uri="{FF2B5EF4-FFF2-40B4-BE49-F238E27FC236}">
                <a16:creationId xmlns:a16="http://schemas.microsoft.com/office/drawing/2014/main" id="{0B145A38-3DCB-70C4-F4BF-282E23E8C49B}"/>
              </a:ext>
            </a:extLst>
          </xdr:cNvPr>
          <xdr:cNvSpPr/>
        </xdr:nvSpPr>
        <xdr:spPr>
          <a:xfrm>
            <a:off x="5449847" y="1009462"/>
            <a:ext cx="72000" cy="72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9</xdr:col>
      <xdr:colOff>190500</xdr:colOff>
      <xdr:row>0</xdr:row>
      <xdr:rowOff>114300</xdr:rowOff>
    </xdr:from>
    <xdr:to>
      <xdr:col>15</xdr:col>
      <xdr:colOff>742950</xdr:colOff>
      <xdr:row>4</xdr:row>
      <xdr:rowOff>19050</xdr:rowOff>
    </xdr:to>
    <xdr:sp macro="" textlink="">
      <xdr:nvSpPr>
        <xdr:cNvPr id="40" name="Rectangle 39">
          <a:extLst>
            <a:ext uri="{FF2B5EF4-FFF2-40B4-BE49-F238E27FC236}">
              <a16:creationId xmlns:a16="http://schemas.microsoft.com/office/drawing/2014/main" id="{2D75B079-3D98-B6A5-D464-E53676C8E922}"/>
            </a:ext>
          </a:extLst>
        </xdr:cNvPr>
        <xdr:cNvSpPr/>
      </xdr:nvSpPr>
      <xdr:spPr>
        <a:xfrm>
          <a:off x="4467225" y="114300"/>
          <a:ext cx="3638550" cy="695325"/>
        </a:xfrm>
        <a:prstGeom prst="rect">
          <a:avLst/>
        </a:prstGeom>
        <a:solidFill>
          <a:srgbClr val="F9FAF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161925</xdr:colOff>
      <xdr:row>0</xdr:row>
      <xdr:rowOff>76200</xdr:rowOff>
    </xdr:from>
    <xdr:to>
      <xdr:col>9</xdr:col>
      <xdr:colOff>123825</xdr:colOff>
      <xdr:row>3</xdr:row>
      <xdr:rowOff>133350</xdr:rowOff>
    </xdr:to>
    <xdr:sp macro="" textlink="">
      <xdr:nvSpPr>
        <xdr:cNvPr id="2" name="Rectangle 1">
          <a:hlinkClick xmlns:r="http://schemas.openxmlformats.org/officeDocument/2006/relationships" r:id="rId7" tooltip="Visit our website"/>
          <a:extLst>
            <a:ext uri="{FF2B5EF4-FFF2-40B4-BE49-F238E27FC236}">
              <a16:creationId xmlns:a16="http://schemas.microsoft.com/office/drawing/2014/main" id="{3B5FC1D1-F2EB-27A6-1A6C-CAB93DDD930E}"/>
            </a:ext>
          </a:extLst>
        </xdr:cNvPr>
        <xdr:cNvSpPr/>
      </xdr:nvSpPr>
      <xdr:spPr>
        <a:xfrm>
          <a:off x="323850" y="76200"/>
          <a:ext cx="4076700" cy="6953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zussah mmabun veronica" refreshedDate="45010.399430439815" createdVersion="8" refreshedVersion="8" minRefreshableVersion="3" recordCount="1198" xr:uid="{27C284A0-5575-4FD7-A332-7F69D8BD539B}">
  <cacheSource type="worksheet">
    <worksheetSource name="Table5"/>
  </cacheSource>
  <cacheFields count="10">
    <cacheField name="Date" numFmtId="15">
      <sharedItems containsSemiMixedTypes="0" containsNonDate="0" containsDate="1" containsString="0" minDate="2017-01-02T00:00:00" maxDate="2018-12-31T00:00:00" count="576">
        <d v="2018-10-26T00:00:00"/>
        <d v="2018-05-18T00:00:00"/>
        <d v="2017-11-02T00:00:00"/>
        <d v="2017-07-17T00:00:00"/>
        <d v="2017-11-06T00:00:00"/>
        <d v="2017-02-06T00:00:00"/>
        <d v="2018-09-03T00:00:00"/>
        <d v="2018-08-25T00:00:00"/>
        <d v="2017-10-15T00:00:00"/>
        <d v="2018-04-06T00:00:00"/>
        <d v="2017-03-15T00:00:00"/>
        <d v="2017-05-07T00:00:00"/>
        <d v="2018-02-25T00:00:00"/>
        <d v="2017-01-06T00:00:00"/>
        <d v="2017-05-25T00:00:00"/>
        <d v="2017-01-27T00:00:00"/>
        <d v="2017-09-14T00:00:00"/>
        <d v="2017-08-12T00:00:00"/>
        <d v="2017-04-08T00:00:00"/>
        <d v="2017-10-05T00:00:00"/>
        <d v="2017-03-18T00:00:00"/>
        <d v="2017-09-15T00:00:00"/>
        <d v="2018-03-17T00:00:00"/>
        <d v="2018-06-12T00:00:00"/>
        <d v="2017-10-30T00:00:00"/>
        <d v="2018-08-29T00:00:00"/>
        <d v="2017-12-20T00:00:00"/>
        <d v="2018-03-29T00:00:00"/>
        <d v="2017-07-22T00:00:00"/>
        <d v="2018-01-14T00:00:00"/>
        <d v="2017-08-27T00:00:00"/>
        <d v="2017-07-31T00:00:00"/>
        <d v="2018-01-25T00:00:00"/>
        <d v="2018-09-09T00:00:00"/>
        <d v="2018-04-28T00:00:00"/>
        <d v="2018-09-01T00:00:00"/>
        <d v="2018-09-21T00:00:00"/>
        <d v="2017-09-03T00:00:00"/>
        <d v="2018-06-17T00:00:00"/>
        <d v="2017-10-27T00:00:00"/>
        <d v="2017-01-12T00:00:00"/>
        <d v="2018-04-29T00:00:00"/>
        <d v="2018-08-27T00:00:00"/>
        <d v="2018-03-05T00:00:00"/>
        <d v="2018-03-23T00:00:00"/>
        <d v="2018-09-28T00:00:00"/>
        <d v="2018-01-07T00:00:00"/>
        <d v="2017-10-10T00:00:00"/>
        <d v="2018-11-13T00:00:00"/>
        <d v="2018-04-18T00:00:00"/>
        <d v="2017-09-16T00:00:00"/>
        <d v="2017-04-24T00:00:00"/>
        <d v="2018-12-22T00:00:00"/>
        <d v="2017-07-09T00:00:00"/>
        <d v="2017-05-17T00:00:00"/>
        <d v="2018-12-04T00:00:00"/>
        <d v="2018-05-23T00:00:00"/>
        <d v="2018-07-16T00:00:00"/>
        <d v="2018-08-26T00:00:00"/>
        <d v="2017-04-01T00:00:00"/>
        <d v="2018-05-14T00:00:00"/>
        <d v="2018-01-31T00:00:00"/>
        <d v="2018-12-08T00:00:00"/>
        <d v="2017-11-08T00:00:00"/>
        <d v="2017-09-09T00:00:00"/>
        <d v="2018-12-02T00:00:00"/>
        <d v="2018-02-12T00:00:00"/>
        <d v="2018-07-15T00:00:00"/>
        <d v="2017-04-20T00:00:00"/>
        <d v="2018-11-05T00:00:00"/>
        <d v="2017-10-14T00:00:00"/>
        <d v="2018-10-01T00:00:00"/>
        <d v="2017-04-11T00:00:00"/>
        <d v="2017-01-22T00:00:00"/>
        <d v="2017-09-02T00:00:00"/>
        <d v="2017-03-20T00:00:00"/>
        <d v="2018-09-06T00:00:00"/>
        <d v="2018-11-16T00:00:00"/>
        <d v="2018-09-13T00:00:00"/>
        <d v="2017-06-15T00:00:00"/>
        <d v="2018-12-11T00:00:00"/>
        <d v="2018-05-01T00:00:00"/>
        <d v="2018-07-26T00:00:00"/>
        <d v="2018-10-11T00:00:00"/>
        <d v="2017-05-01T00:00:00"/>
        <d v="2017-06-07T00:00:00"/>
        <d v="2017-04-12T00:00:00"/>
        <d v="2018-07-11T00:00:00"/>
        <d v="2017-02-17T00:00:00"/>
        <d v="2017-01-14T00:00:00"/>
        <d v="2018-07-30T00:00:00"/>
        <d v="2017-11-17T00:00:00"/>
        <d v="2018-03-30T00:00:00"/>
        <d v="2017-09-30T00:00:00"/>
        <d v="2017-05-23T00:00:00"/>
        <d v="2018-01-19T00:00:00"/>
        <d v="2017-03-25T00:00:00"/>
        <d v="2018-07-07T00:00:00"/>
        <d v="2017-06-09T00:00:00"/>
        <d v="2018-11-10T00:00:00"/>
        <d v="2018-01-21T00:00:00"/>
        <d v="2017-03-27T00:00:00"/>
        <d v="2018-09-12T00:00:00"/>
        <d v="2018-07-01T00:00:00"/>
        <d v="2017-06-28T00:00:00"/>
        <d v="2018-06-29T00:00:00"/>
        <d v="2018-01-11T00:00:00"/>
        <d v="2018-03-21T00:00:00"/>
        <d v="2018-12-10T00:00:00"/>
        <d v="2017-01-02T00:00:00"/>
        <d v="2018-06-08T00:00:00"/>
        <d v="2017-02-08T00:00:00"/>
        <d v="2017-12-26T00:00:00"/>
        <d v="2017-08-21T00:00:00"/>
        <d v="2017-07-04T00:00:00"/>
        <d v="2017-02-20T00:00:00"/>
        <d v="2018-01-24T00:00:00"/>
        <d v="2017-10-24T00:00:00"/>
        <d v="2017-11-27T00:00:00"/>
        <d v="2017-03-10T00:00:00"/>
        <d v="2017-08-29T00:00:00"/>
        <d v="2017-06-23T00:00:00"/>
        <d v="2018-11-27T00:00:00"/>
        <d v="2017-04-29T00:00:00"/>
        <d v="2018-09-22T00:00:00"/>
        <d v="2017-12-10T00:00:00"/>
        <d v="2018-02-13T00:00:00"/>
        <d v="2017-11-13T00:00:00"/>
        <d v="2017-08-18T00:00:00"/>
        <d v="2018-04-11T00:00:00"/>
        <d v="2017-10-06T00:00:00"/>
        <d v="2017-05-05T00:00:00"/>
        <d v="2018-12-16T00:00:00"/>
        <d v="2017-11-16T00:00:00"/>
        <d v="2018-11-14T00:00:00"/>
        <d v="2017-03-22T00:00:00"/>
        <d v="2018-11-01T00:00:00"/>
        <d v="2018-03-18T00:00:00"/>
        <d v="2017-10-22T00:00:00"/>
        <d v="2017-09-19T00:00:00"/>
        <d v="2018-01-23T00:00:00"/>
        <d v="2017-01-23T00:00:00"/>
        <d v="2017-08-17T00:00:00"/>
        <d v="2017-02-15T00:00:00"/>
        <d v="2017-03-26T00:00:00"/>
        <d v="2017-10-04T00:00:00"/>
        <d v="2017-03-24T00:00:00"/>
        <d v="2018-10-08T00:00:00"/>
        <d v="2017-06-24T00:00:00"/>
        <d v="2017-06-03T00:00:00"/>
        <d v="2017-02-05T00:00:00"/>
        <d v="2018-03-26T00:00:00"/>
        <d v="2017-03-17T00:00:00"/>
        <d v="2017-12-13T00:00:00"/>
        <d v="2018-05-03T00:00:00"/>
        <d v="2018-05-17T00:00:00"/>
        <d v="2017-02-16T00:00:00"/>
        <d v="2018-12-20T00:00:00"/>
        <d v="2017-12-08T00:00:00"/>
        <d v="2017-12-23T00:00:00"/>
        <d v="2018-04-12T00:00:00"/>
        <d v="2017-11-26T00:00:00"/>
        <d v="2018-06-21T00:00:00"/>
        <d v="2017-06-10T00:00:00"/>
        <d v="2017-04-02T00:00:00"/>
        <d v="2017-08-10T00:00:00"/>
        <d v="2017-01-08T00:00:00"/>
        <d v="2018-06-04T00:00:00"/>
        <d v="2017-05-10T00:00:00"/>
        <d v="2018-06-19T00:00:00"/>
        <d v="2018-02-03T00:00:00"/>
        <d v="2017-07-24T00:00:00"/>
        <d v="2018-02-06T00:00:00"/>
        <d v="2017-09-28T00:00:00"/>
        <d v="2018-02-10T00:00:00"/>
        <d v="2017-05-14T00:00:00"/>
        <d v="2018-03-01T00:00:00"/>
        <d v="2018-08-21T00:00:00"/>
        <d v="2017-02-21T00:00:00"/>
        <d v="2018-05-28T00:00:00"/>
        <d v="2018-06-23T00:00:00"/>
        <d v="2017-05-29T00:00:00"/>
        <d v="2018-12-28T00:00:00"/>
        <d v="2018-11-08T00:00:00"/>
        <d v="2018-06-30T00:00:00"/>
        <d v="2018-05-22T00:00:00"/>
        <d v="2017-08-19T00:00:00"/>
        <d v="2017-07-16T00:00:00"/>
        <d v="2018-08-20T00:00:00"/>
        <d v="2017-02-27T00:00:00"/>
        <d v="2017-06-25T00:00:00"/>
        <d v="2017-08-02T00:00:00"/>
        <d v="2018-07-25T00:00:00"/>
        <d v="2018-07-05T00:00:00"/>
        <d v="2018-02-20T00:00:00"/>
        <d v="2018-06-09T00:00:00"/>
        <d v="2017-01-04T00:00:00"/>
        <d v="2018-10-29T00:00:00"/>
        <d v="2018-10-19T00:00:00"/>
        <d v="2018-07-28T00:00:00"/>
        <d v="2018-09-05T00:00:00"/>
        <d v="2017-03-29T00:00:00"/>
        <d v="2018-10-27T00:00:00"/>
        <d v="2018-03-27T00:00:00"/>
        <d v="2018-04-22T00:00:00"/>
        <d v="2018-05-31T00:00:00"/>
        <d v="2017-05-22T00:00:00"/>
        <d v="2017-06-14T00:00:00"/>
        <d v="2017-05-18T00:00:00"/>
        <d v="2018-07-27T00:00:00"/>
        <d v="2018-08-14T00:00:00"/>
        <d v="2018-10-18T00:00:00"/>
        <d v="2018-07-04T00:00:00"/>
        <d v="2018-10-06T00:00:00"/>
        <d v="2017-06-12T00:00:00"/>
        <d v="2017-11-07T00:00:00"/>
        <d v="2018-06-07T00:00:00"/>
        <d v="2018-08-31T00:00:00"/>
        <d v="2017-01-19T00:00:00"/>
        <d v="2017-04-30T00:00:00"/>
        <d v="2017-01-17T00:00:00"/>
        <d v="2017-03-04T00:00:00"/>
        <d v="2018-10-16T00:00:00"/>
        <d v="2018-09-15T00:00:00"/>
        <d v="2018-06-18T00:00:00"/>
        <d v="2018-11-20T00:00:00"/>
        <d v="2017-07-02T00:00:00"/>
        <d v="2017-12-14T00:00:00"/>
        <d v="2018-06-14T00:00:00"/>
        <d v="2017-11-01T00:00:00"/>
        <d v="2018-08-08T00:00:00"/>
        <d v="2017-09-07T00:00:00"/>
        <d v="2018-04-21T00:00:00"/>
        <d v="2018-10-03T00:00:00"/>
        <d v="2017-07-18T00:00:00"/>
        <d v="2017-03-07T00:00:00"/>
        <d v="2018-01-12T00:00:00"/>
        <d v="2017-03-08T00:00:00"/>
        <d v="2017-03-02T00:00:00"/>
        <d v="2017-05-02T00:00:00"/>
        <d v="2018-04-27T00:00:00"/>
        <d v="2017-12-11T00:00:00"/>
        <d v="2018-08-11T00:00:00"/>
        <d v="2018-09-30T00:00:00"/>
        <d v="2018-06-02T00:00:00"/>
        <d v="2018-06-20T00:00:00"/>
        <d v="2018-10-14T00:00:00"/>
        <d v="2017-09-20T00:00:00"/>
        <d v="2017-10-01T00:00:00"/>
        <d v="2018-10-28T00:00:00"/>
        <d v="2018-06-05T00:00:00"/>
        <d v="2018-03-02T00:00:00"/>
        <d v="2018-04-14T00:00:00"/>
        <d v="2018-09-18T00:00:00"/>
        <d v="2017-05-09T00:00:00"/>
        <d v="2018-04-23T00:00:00"/>
        <d v="2017-12-05T00:00:00"/>
        <d v="2018-11-07T00:00:00"/>
        <d v="2017-05-11T00:00:00"/>
        <d v="2017-07-21T00:00:00"/>
        <d v="2017-01-31T00:00:00"/>
        <d v="2018-03-13T00:00:00"/>
        <d v="2017-10-28T00:00:00"/>
        <d v="2017-07-08T00:00:00"/>
        <d v="2018-06-27T00:00:00"/>
        <d v="2018-04-17T00:00:00"/>
        <d v="2017-07-29T00:00:00"/>
        <d v="2018-03-06T00:00:00"/>
        <d v="2017-07-23T00:00:00"/>
        <d v="2017-08-06T00:00:00"/>
        <d v="2017-02-18T00:00:00"/>
        <d v="2017-05-06T00:00:00"/>
        <d v="2017-02-10T00:00:00"/>
        <d v="2018-03-04T00:00:00"/>
        <d v="2018-08-04T00:00:00"/>
        <d v="2017-11-18T00:00:00"/>
        <d v="2018-10-07T00:00:00"/>
        <d v="2017-12-27T00:00:00"/>
        <d v="2017-01-11T00:00:00"/>
        <d v="2018-01-04T00:00:00"/>
        <d v="2017-04-03T00:00:00"/>
        <d v="2018-09-24T00:00:00"/>
        <d v="2017-08-01T00:00:00"/>
        <d v="2018-04-13T00:00:00"/>
        <d v="2018-02-18T00:00:00"/>
        <d v="2017-06-13T00:00:00"/>
        <d v="2018-01-01T00:00:00"/>
        <d v="2017-12-25T00:00:00"/>
        <d v="2018-11-25T00:00:00"/>
        <d v="2017-05-19T00:00:00"/>
        <d v="2018-11-06T00:00:00"/>
        <d v="2018-05-21T00:00:00"/>
        <d v="2017-03-14T00:00:00"/>
        <d v="2018-11-21T00:00:00"/>
        <d v="2018-10-17T00:00:00"/>
        <d v="2017-06-27T00:00:00"/>
        <d v="2018-08-07T00:00:00"/>
        <d v="2018-09-23T00:00:00"/>
        <d v="2017-07-14T00:00:00"/>
        <d v="2017-01-29T00:00:00"/>
        <d v="2017-08-24T00:00:00"/>
        <d v="2018-11-22T00:00:00"/>
        <d v="2018-02-01T00:00:00"/>
        <d v="2017-02-02T00:00:00"/>
        <d v="2018-09-08T00:00:00"/>
        <d v="2017-01-28T00:00:00"/>
        <d v="2017-08-11T00:00:00"/>
        <d v="2017-07-25T00:00:00"/>
        <d v="2018-10-24T00:00:00"/>
        <d v="2018-02-17T00:00:00"/>
        <d v="2018-05-05T00:00:00"/>
        <d v="2018-07-14T00:00:00"/>
        <d v="2017-02-14T00:00:00"/>
        <d v="2017-09-10T00:00:00"/>
        <d v="2017-07-12T00:00:00"/>
        <d v="2017-04-07T00:00:00"/>
        <d v="2017-07-06T00:00:00"/>
        <d v="2017-03-03T00:00:00"/>
        <d v="2018-12-12T00:00:00"/>
        <d v="2017-04-25T00:00:00"/>
        <d v="2018-03-20T00:00:00"/>
        <d v="2017-11-29T00:00:00"/>
        <d v="2017-05-30T00:00:00"/>
        <d v="2017-04-23T00:00:00"/>
        <d v="2018-12-06T00:00:00"/>
        <d v="2017-07-01T00:00:00"/>
        <d v="2017-12-01T00:00:00"/>
        <d v="2017-07-15T00:00:00"/>
        <d v="2017-12-19T00:00:00"/>
        <d v="2018-11-04T00:00:00"/>
        <d v="2018-11-19T00:00:00"/>
        <d v="2018-08-17T00:00:00"/>
        <d v="2018-07-29T00:00:00"/>
        <d v="2017-12-17T00:00:00"/>
        <d v="2018-01-29T00:00:00"/>
        <d v="2018-05-19T00:00:00"/>
        <d v="2017-10-16T00:00:00"/>
        <d v="2017-04-26T00:00:00"/>
        <d v="2017-08-13T00:00:00"/>
        <d v="2018-06-24T00:00:00"/>
        <d v="2017-12-03T00:00:00"/>
        <d v="2018-02-02T00:00:00"/>
        <d v="2018-03-03T00:00:00"/>
        <d v="2017-12-04T00:00:00"/>
        <d v="2017-06-04T00:00:00"/>
        <d v="2018-02-09T00:00:00"/>
        <d v="2017-08-04T00:00:00"/>
        <d v="2018-05-04T00:00:00"/>
        <d v="2017-02-26T00:00:00"/>
        <d v="2017-04-14T00:00:00"/>
        <d v="2017-03-16T00:00:00"/>
        <d v="2017-03-19T00:00:00"/>
        <d v="2018-03-19T00:00:00"/>
        <d v="2018-06-28T00:00:00"/>
        <d v="2017-09-25T00:00:00"/>
        <d v="2017-01-21T00:00:00"/>
        <d v="2017-03-13T00:00:00"/>
        <d v="2018-07-12T00:00:00"/>
        <d v="2018-11-26T00:00:00"/>
        <d v="2017-04-09T00:00:00"/>
        <d v="2017-02-24T00:00:00"/>
        <d v="2018-07-06T00:00:00"/>
        <d v="2017-06-22T00:00:00"/>
        <d v="2018-07-13T00:00:00"/>
        <d v="2018-01-09T00:00:00"/>
        <d v="2018-03-25T00:00:00"/>
        <d v="2018-12-17T00:00:00"/>
        <d v="2018-07-09T00:00:00"/>
        <d v="2017-10-02T00:00:00"/>
        <d v="2018-09-17T00:00:00"/>
        <d v="2017-07-13T00:00:00"/>
        <d v="2018-01-22T00:00:00"/>
        <d v="2018-12-07T00:00:00"/>
        <d v="2017-12-02T00:00:00"/>
        <d v="2017-07-10T00:00:00"/>
        <d v="2017-11-03T00:00:00"/>
        <d v="2017-05-12T00:00:00"/>
        <d v="2018-05-08T00:00:00"/>
        <d v="2017-06-01T00:00:00"/>
        <d v="2017-10-07T00:00:00"/>
        <d v="2018-05-12T00:00:00"/>
        <d v="2018-09-26T00:00:00"/>
        <d v="2017-09-13T00:00:00"/>
        <d v="2018-02-28T00:00:00"/>
        <d v="2018-05-02T00:00:00"/>
        <d v="2017-09-21T00:00:00"/>
        <d v="2017-08-09T00:00:00"/>
        <d v="2018-07-20T00:00:00"/>
        <d v="2017-01-25T00:00:00"/>
        <d v="2017-06-02T00:00:00"/>
        <d v="2018-04-20T00:00:00"/>
        <d v="2018-08-18T00:00:00"/>
        <d v="2017-11-25T00:00:00"/>
        <d v="2018-05-24T00:00:00"/>
        <d v="2017-12-22T00:00:00"/>
        <d v="2017-02-22T00:00:00"/>
        <d v="2017-12-21T00:00:00"/>
        <d v="2017-10-23T00:00:00"/>
        <d v="2018-03-22T00:00:00"/>
        <d v="2017-09-26T00:00:00"/>
        <d v="2018-09-02T00:00:00"/>
        <d v="2017-05-13T00:00:00"/>
        <d v="2017-07-26T00:00:00"/>
        <d v="2018-09-20T00:00:00"/>
        <d v="2017-04-22T00:00:00"/>
        <d v="2018-11-30T00:00:00"/>
        <d v="2017-12-15T00:00:00"/>
        <d v="2017-07-30T00:00:00"/>
        <d v="2018-02-14T00:00:00"/>
        <d v="2017-02-01T00:00:00"/>
        <d v="2017-03-11T00:00:00"/>
        <d v="2018-11-23T00:00:00"/>
        <d v="2017-08-26T00:00:00"/>
        <d v="2017-10-31T00:00:00"/>
        <d v="2018-12-26T00:00:00"/>
        <d v="2017-07-28T00:00:00"/>
        <d v="2018-11-11T00:00:00"/>
        <d v="2017-07-03T00:00:00"/>
        <d v="2017-05-20T00:00:00"/>
        <d v="2018-03-31T00:00:00"/>
        <d v="2017-06-05T00:00:00"/>
        <d v="2017-10-17T00:00:00"/>
        <d v="2018-06-10T00:00:00"/>
        <d v="2018-06-25T00:00:00"/>
        <d v="2017-04-19T00:00:00"/>
        <d v="2018-07-22T00:00:00"/>
        <d v="2018-05-29T00:00:00"/>
        <d v="2018-08-19T00:00:00"/>
        <d v="2018-02-08T00:00:00"/>
        <d v="2017-08-03T00:00:00"/>
        <d v="2017-07-07T00:00:00"/>
        <d v="2018-04-09T00:00:00"/>
        <d v="2018-06-16T00:00:00"/>
        <d v="2018-07-18T00:00:00"/>
        <d v="2017-05-27T00:00:00"/>
        <d v="2017-09-08T00:00:00"/>
        <d v="2017-11-15T00:00:00"/>
        <d v="2017-09-29T00:00:00"/>
        <d v="2018-12-13T00:00:00"/>
        <d v="2018-01-27T00:00:00"/>
        <d v="2017-10-25T00:00:00"/>
        <d v="2017-05-24T00:00:00"/>
        <d v="2018-08-16T00:00:00"/>
        <d v="2018-04-04T00:00:00"/>
        <d v="2018-08-05T00:00:00"/>
        <d v="2018-05-07T00:00:00"/>
        <d v="2017-11-10T00:00:00"/>
        <d v="2017-06-29T00:00:00"/>
        <d v="2018-03-28T00:00:00"/>
        <d v="2018-10-05T00:00:00"/>
        <d v="2017-05-28T00:00:00"/>
        <d v="2018-10-04T00:00:00"/>
        <d v="2017-06-08T00:00:00"/>
        <d v="2017-12-12T00:00:00"/>
        <d v="2018-05-27T00:00:00"/>
        <d v="2018-12-30T00:00:00"/>
        <d v="2017-11-30T00:00:00"/>
        <d v="2017-02-07T00:00:00"/>
        <d v="2018-03-09T00:00:00"/>
        <d v="2018-12-25T00:00:00"/>
        <d v="2018-04-30T00:00:00"/>
        <d v="2017-01-07T00:00:00"/>
        <d v="2018-04-19T00:00:00"/>
        <d v="2017-06-11T00:00:00"/>
        <d v="2017-07-11T00:00:00"/>
        <d v="2017-06-06T00:00:00"/>
        <d v="2017-04-18T00:00:00"/>
        <d v="2017-01-18T00:00:00"/>
        <d v="2017-08-05T00:00:00"/>
        <d v="2018-05-09T00:00:00"/>
        <d v="2017-06-21T00:00:00"/>
        <d v="2017-08-08T00:00:00"/>
        <d v="2018-07-21T00:00:00"/>
        <d v="2017-12-07T00:00:00"/>
        <d v="2018-09-04T00:00:00"/>
        <d v="2018-04-25T00:00:00"/>
        <d v="2018-06-11T00:00:00"/>
        <d v="2017-01-03T00:00:00"/>
        <d v="2018-05-11T00:00:00"/>
        <d v="2018-09-29T00:00:00"/>
        <d v="2017-05-16T00:00:00"/>
        <d v="2017-08-20T00:00:00"/>
        <d v="2018-04-24T00:00:00"/>
        <d v="2018-02-15T00:00:00"/>
        <d v="2017-04-06T00:00:00"/>
        <d v="2018-10-31T00:00:00"/>
        <d v="2017-04-27T00:00:00"/>
        <d v="2018-01-20T00:00:00"/>
        <d v="2017-03-12T00:00:00"/>
        <d v="2017-11-24T00:00:00"/>
        <d v="2018-10-25T00:00:00"/>
        <d v="2018-01-02T00:00:00"/>
        <d v="2018-12-05T00:00:00"/>
        <d v="2018-05-16T00:00:00"/>
        <d v="2017-05-21T00:00:00"/>
        <d v="2017-05-08T00:00:00"/>
        <d v="2018-03-12T00:00:00"/>
        <d v="2017-04-10T00:00:00"/>
        <d v="2017-11-09T00:00:00"/>
        <d v="2017-09-01T00:00:00"/>
        <d v="2017-01-10T00:00:00"/>
        <d v="2017-11-21T00:00:00"/>
        <d v="2018-08-09T00:00:00"/>
        <d v="2018-08-10T00:00:00"/>
        <d v="2018-07-31T00:00:00"/>
        <d v="2018-03-11T00:00:00"/>
        <d v="2018-03-07T00:00:00"/>
        <d v="2017-01-13T00:00:00"/>
        <d v="2017-12-31T00:00:00"/>
        <d v="2018-10-13T00:00:00"/>
        <d v="2018-04-05T00:00:00"/>
        <d v="2018-04-03T00:00:00"/>
        <d v="2017-11-20T00:00:00"/>
        <d v="2018-02-11T00:00:00"/>
        <d v="2018-12-03T00:00:00"/>
        <d v="2018-10-20T00:00:00"/>
        <d v="2018-03-14T00:00:00"/>
        <d v="2018-09-14T00:00:00"/>
        <d v="2017-02-28T00:00:00"/>
        <d v="2018-12-14T00:00:00"/>
        <d v="2018-12-24T00:00:00"/>
        <d v="2018-09-27T00:00:00"/>
        <d v="2017-04-04T00:00:00"/>
        <d v="2017-08-28T00:00:00"/>
        <d v="2018-02-04T00:00:00"/>
        <d v="2018-11-29T00:00:00"/>
        <d v="2018-01-16T00:00:00"/>
        <d v="2018-06-03T00:00:00"/>
        <d v="2018-10-15T00:00:00"/>
        <d v="2017-04-15T00:00:00"/>
        <d v="2017-10-26T00:00:00"/>
        <d v="2017-08-07T00:00:00"/>
        <d v="2018-05-25T00:00:00"/>
        <d v="2018-04-07T00:00:00"/>
        <d v="2017-05-04T00:00:00"/>
        <d v="2017-04-05T00:00:00"/>
        <d v="2018-03-08T00:00:00"/>
        <d v="2018-07-19T00:00:00"/>
        <d v="2018-08-12T00:00:00"/>
        <d v="2018-02-22T00:00:00"/>
        <d v="2018-11-28T00:00:00"/>
        <d v="2017-03-01T00:00:00"/>
        <d v="2018-04-08T00:00:00"/>
        <d v="2017-07-20T00:00:00"/>
        <d v="2018-07-03T00:00:00"/>
        <d v="2017-10-18T00:00:00"/>
        <d v="2018-03-24T00:00:00"/>
        <d v="2017-08-14T00:00:00"/>
        <d v="2018-10-12T00:00:00"/>
        <d v="2018-10-02T00:00:00"/>
        <d v="2018-12-29T00:00:00"/>
        <d v="2018-06-01T00:00:00"/>
        <d v="2017-02-19T00:00:00"/>
        <d v="2017-02-11T00:00:00"/>
        <d v="2017-10-20T00:00:00"/>
        <d v="2017-04-16T00:00:00"/>
        <d v="2018-08-28T00:00:00"/>
        <d v="2018-07-24T00:00:00"/>
        <d v="2018-12-21T00:00:00"/>
        <d v="2017-02-09T00:00:00"/>
        <d v="2018-08-02T00:00:00"/>
        <d v="2017-12-09T00:00:00"/>
        <d v="2017-04-17T00:00:00"/>
        <d v="2018-12-09T00:00:00"/>
        <d v="2017-03-09T00:00:00"/>
        <d v="2017-11-12T00:00:00"/>
        <d v="2018-04-16T00:00:00"/>
        <d v="2017-01-30T00:00:00"/>
        <d v="2017-04-28T00:00:00"/>
        <d v="2017-02-03T00:00:00"/>
        <d v="2018-08-06T00:00:00"/>
        <d v="2017-01-24T00:00:00"/>
        <d v="2018-04-10T00:00:00"/>
        <d v="2018-01-26T00:00:00"/>
        <d v="2018-12-18T00:00:00"/>
        <d v="2018-09-16T00:00:00"/>
      </sharedItems>
      <fieldGroup par="9" base="0">
        <rangePr groupBy="months" startDate="2017-01-02T00:00:00" endDate="2018-12-31T00:00:00"/>
        <groupItems count="14">
          <s v="&lt;1/2/2017"/>
          <s v="Jan"/>
          <s v="Feb"/>
          <s v="Mar"/>
          <s v="Apr"/>
          <s v="May"/>
          <s v="Jun"/>
          <s v="Jul"/>
          <s v="Aug"/>
          <s v="Sep"/>
          <s v="Oct"/>
          <s v="Nov"/>
          <s v="Dec"/>
          <s v="&gt;12/31/2018"/>
        </groupItems>
      </fieldGroup>
    </cacheField>
    <cacheField name="Financial Year" numFmtId="0">
      <sharedItems containsSemiMixedTypes="0" containsString="0" containsNumber="1" containsInteger="1" minValue="2017" maxValue="2018" count="2">
        <n v="2018"/>
        <n v="2017"/>
      </sharedItems>
    </cacheField>
    <cacheField name="Shipping ID" numFmtId="0">
      <sharedItems/>
    </cacheField>
    <cacheField name="Country" numFmtId="0">
      <sharedItems count="26">
        <s v="UAE"/>
        <s v="USA"/>
        <s v="Taiwan"/>
        <s v="Finland"/>
        <s v="Australia"/>
        <s v="Sweden"/>
        <s v="Switzerland"/>
        <s v="Malaysia"/>
        <s v="Argentina"/>
        <s v="Andorra"/>
        <s v="Singapore"/>
        <s v="Korea, South"/>
        <s v="Kenya"/>
        <s v="Norway"/>
        <s v="Austria"/>
        <s v="Chile"/>
        <s v="Canada"/>
        <s v="Japan"/>
        <s v="Bahrain"/>
        <s v="Denmark"/>
        <s v="Hong Kong, (China)"/>
        <s v="Belgium"/>
        <s v="France"/>
        <s v="Kingdom of Saudi Arabia"/>
        <s v="Antigua &amp; Barbuda"/>
        <s v="Bermuda"/>
      </sharedItems>
    </cacheField>
    <cacheField name="Account Manager" numFmtId="0">
      <sharedItems count="14">
        <s v="Francisca Obeng"/>
        <s v="Ebenezer Darko"/>
        <s v="Michael Gyasi"/>
        <s v="Justice Nyamekye"/>
        <s v="Emmanuel Kwashie"/>
        <s v="Priscilla Mintah"/>
        <s v="Cecilia Esi"/>
        <s v="Desmond Boateng"/>
        <s v="Patricia Narh"/>
        <s v="Bridget Okyere"/>
        <s v="Francis Mensah"/>
        <s v="Okyere Mintah"/>
        <s v="Godred Gyimah"/>
        <s v="Elikem Kobla"/>
      </sharedItems>
    </cacheField>
    <cacheField name="Cargo Type" numFmtId="0">
      <sharedItems count="4">
        <s v="Domestic"/>
        <s v="Tranship"/>
        <s v="Import"/>
        <s v="Export"/>
      </sharedItems>
    </cacheField>
    <cacheField name="Port Name" numFmtId="0">
      <sharedItems count="10">
        <s v="Lyttelton"/>
        <s v="Port Otago"/>
        <s v="Port of Napier"/>
        <s v="Port Nelson"/>
        <s v="Port Taranaki"/>
        <s v="Ports of Auckland"/>
        <s v="Southport"/>
        <s v="Centreport"/>
        <s v="Port of Tauranga"/>
        <s v="Primeport Timaru"/>
      </sharedItems>
    </cacheField>
    <cacheField name="Fees" numFmtId="0">
      <sharedItems containsSemiMixedTypes="0" containsString="0" containsNumber="1" containsInteger="1" minValue="1018" maxValue="8996"/>
    </cacheField>
    <cacheField name="Quarters" numFmtId="0" databaseField="0">
      <fieldGroup base="0">
        <rangePr groupBy="quarters" startDate="2017-01-02T00:00:00" endDate="2018-12-31T00:00:00"/>
        <groupItems count="6">
          <s v="&lt;1/2/2017"/>
          <s v="Qtr1"/>
          <s v="Qtr2"/>
          <s v="Qtr3"/>
          <s v="Qtr4"/>
          <s v="&gt;12/31/2018"/>
        </groupItems>
      </fieldGroup>
    </cacheField>
    <cacheField name="Years" numFmtId="0" databaseField="0">
      <fieldGroup base="0">
        <rangePr groupBy="years" startDate="2017-01-02T00:00:00" endDate="2018-12-31T00:00:00"/>
        <groupItems count="4">
          <s v="&lt;1/2/2017"/>
          <s v="2017"/>
          <s v="2018"/>
          <s v="&gt;12/31/2018"/>
        </groupItems>
      </fieldGroup>
    </cacheField>
  </cacheFields>
  <extLst>
    <ext xmlns:x14="http://schemas.microsoft.com/office/spreadsheetml/2009/9/main" uri="{725AE2AE-9491-48be-B2B4-4EB974FC3084}">
      <x14:pivotCacheDefinition pivotCacheId="667896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8">
  <r>
    <x v="0"/>
    <x v="0"/>
    <s v="1-GP06N2 "/>
    <x v="0"/>
    <x v="0"/>
    <x v="0"/>
    <x v="0"/>
    <n v="6816"/>
  </r>
  <r>
    <x v="1"/>
    <x v="0"/>
    <s v="1-G6A3TR "/>
    <x v="1"/>
    <x v="1"/>
    <x v="0"/>
    <x v="0"/>
    <n v="4537"/>
  </r>
  <r>
    <x v="2"/>
    <x v="1"/>
    <s v="1-DWU0FV "/>
    <x v="1"/>
    <x v="2"/>
    <x v="1"/>
    <x v="1"/>
    <n v="6700"/>
  </r>
  <r>
    <x v="3"/>
    <x v="1"/>
    <s v="1-ERBDEH "/>
    <x v="1"/>
    <x v="3"/>
    <x v="2"/>
    <x v="2"/>
    <n v="5037"/>
  </r>
  <r>
    <x v="4"/>
    <x v="1"/>
    <s v="1-ERN5J3 "/>
    <x v="2"/>
    <x v="4"/>
    <x v="0"/>
    <x v="3"/>
    <n v="6937"/>
  </r>
  <r>
    <x v="5"/>
    <x v="1"/>
    <s v="2S-F65CF "/>
    <x v="3"/>
    <x v="2"/>
    <x v="2"/>
    <x v="0"/>
    <n v="5342"/>
  </r>
  <r>
    <x v="6"/>
    <x v="0"/>
    <s v="1-ERITW1 "/>
    <x v="1"/>
    <x v="5"/>
    <x v="1"/>
    <x v="4"/>
    <n v="2244"/>
  </r>
  <r>
    <x v="7"/>
    <x v="0"/>
    <s v="1-HY3I4F "/>
    <x v="1"/>
    <x v="6"/>
    <x v="2"/>
    <x v="5"/>
    <n v="1469"/>
  </r>
  <r>
    <x v="8"/>
    <x v="1"/>
    <s v="1-I0UT45 "/>
    <x v="1"/>
    <x v="0"/>
    <x v="1"/>
    <x v="0"/>
    <n v="1229"/>
  </r>
  <r>
    <x v="9"/>
    <x v="0"/>
    <s v="1-ERBD4H "/>
    <x v="1"/>
    <x v="2"/>
    <x v="0"/>
    <x v="2"/>
    <n v="6858"/>
  </r>
  <r>
    <x v="10"/>
    <x v="1"/>
    <s v="1-ERN5H5 "/>
    <x v="4"/>
    <x v="7"/>
    <x v="3"/>
    <x v="0"/>
    <n v="2011"/>
  </r>
  <r>
    <x v="11"/>
    <x v="1"/>
    <s v="1-GJYNX1 "/>
    <x v="1"/>
    <x v="8"/>
    <x v="1"/>
    <x v="3"/>
    <n v="1475"/>
  </r>
  <r>
    <x v="12"/>
    <x v="0"/>
    <s v="1-DR3OYX "/>
    <x v="5"/>
    <x v="9"/>
    <x v="1"/>
    <x v="5"/>
    <n v="6524"/>
  </r>
  <r>
    <x v="13"/>
    <x v="1"/>
    <s v="1-GST5PB "/>
    <x v="1"/>
    <x v="0"/>
    <x v="3"/>
    <x v="6"/>
    <n v="3650"/>
  </r>
  <r>
    <x v="14"/>
    <x v="1"/>
    <s v="1-I3M0ZD "/>
    <x v="1"/>
    <x v="2"/>
    <x v="1"/>
    <x v="4"/>
    <n v="3773"/>
  </r>
  <r>
    <x v="15"/>
    <x v="1"/>
    <s v="1-FHYH7X "/>
    <x v="6"/>
    <x v="2"/>
    <x v="3"/>
    <x v="2"/>
    <n v="7807"/>
  </r>
  <r>
    <x v="16"/>
    <x v="1"/>
    <s v="1-HWHD8F "/>
    <x v="1"/>
    <x v="10"/>
    <x v="2"/>
    <x v="1"/>
    <n v="3953"/>
  </r>
  <r>
    <x v="17"/>
    <x v="1"/>
    <s v="1-IAJBO9 "/>
    <x v="6"/>
    <x v="1"/>
    <x v="3"/>
    <x v="3"/>
    <n v="5727"/>
  </r>
  <r>
    <x v="18"/>
    <x v="1"/>
    <s v="1-FSQYWL "/>
    <x v="4"/>
    <x v="10"/>
    <x v="1"/>
    <x v="7"/>
    <n v="3471"/>
  </r>
  <r>
    <x v="19"/>
    <x v="1"/>
    <s v="1-FHYH9F "/>
    <x v="7"/>
    <x v="5"/>
    <x v="2"/>
    <x v="8"/>
    <n v="2045"/>
  </r>
  <r>
    <x v="20"/>
    <x v="1"/>
    <s v="1-I35UWN "/>
    <x v="8"/>
    <x v="10"/>
    <x v="2"/>
    <x v="5"/>
    <n v="7920"/>
  </r>
  <r>
    <x v="21"/>
    <x v="1"/>
    <s v="1-FEAXKJ "/>
    <x v="1"/>
    <x v="9"/>
    <x v="1"/>
    <x v="2"/>
    <n v="7400"/>
  </r>
  <r>
    <x v="22"/>
    <x v="0"/>
    <s v="1-ERBD4R "/>
    <x v="1"/>
    <x v="9"/>
    <x v="1"/>
    <x v="8"/>
    <n v="6315"/>
  </r>
  <r>
    <x v="23"/>
    <x v="0"/>
    <s v="1-H3S503 "/>
    <x v="1"/>
    <x v="3"/>
    <x v="1"/>
    <x v="6"/>
    <n v="6182"/>
  </r>
  <r>
    <x v="24"/>
    <x v="1"/>
    <s v="1-ERN5A7 "/>
    <x v="9"/>
    <x v="9"/>
    <x v="3"/>
    <x v="1"/>
    <n v="3214"/>
  </r>
  <r>
    <x v="25"/>
    <x v="0"/>
    <s v="1-DR3P0J "/>
    <x v="10"/>
    <x v="7"/>
    <x v="0"/>
    <x v="2"/>
    <n v="8098"/>
  </r>
  <r>
    <x v="26"/>
    <x v="1"/>
    <s v="1-FWW1UH "/>
    <x v="10"/>
    <x v="9"/>
    <x v="2"/>
    <x v="6"/>
    <n v="7285"/>
  </r>
  <r>
    <x v="27"/>
    <x v="0"/>
    <s v="1-ERBD83 "/>
    <x v="1"/>
    <x v="11"/>
    <x v="2"/>
    <x v="5"/>
    <n v="1865"/>
  </r>
  <r>
    <x v="28"/>
    <x v="1"/>
    <s v="1-G5RVMZ "/>
    <x v="1"/>
    <x v="9"/>
    <x v="1"/>
    <x v="8"/>
    <n v="5422"/>
  </r>
  <r>
    <x v="29"/>
    <x v="0"/>
    <s v="1-I1XYTL "/>
    <x v="1"/>
    <x v="6"/>
    <x v="1"/>
    <x v="8"/>
    <n v="1819"/>
  </r>
  <r>
    <x v="30"/>
    <x v="1"/>
    <s v="1-GDEX5U "/>
    <x v="10"/>
    <x v="9"/>
    <x v="1"/>
    <x v="3"/>
    <n v="3962"/>
  </r>
  <r>
    <x v="31"/>
    <x v="1"/>
    <s v="1-ERITOT "/>
    <x v="11"/>
    <x v="10"/>
    <x v="1"/>
    <x v="4"/>
    <n v="5957"/>
  </r>
  <r>
    <x v="32"/>
    <x v="0"/>
    <s v="1-FKE8LX "/>
    <x v="4"/>
    <x v="3"/>
    <x v="2"/>
    <x v="7"/>
    <n v="6274"/>
  </r>
  <r>
    <x v="33"/>
    <x v="0"/>
    <s v="1-G6WIJ8 "/>
    <x v="11"/>
    <x v="1"/>
    <x v="0"/>
    <x v="5"/>
    <n v="4580"/>
  </r>
  <r>
    <x v="34"/>
    <x v="0"/>
    <s v="1-HVAU7V "/>
    <x v="1"/>
    <x v="11"/>
    <x v="2"/>
    <x v="4"/>
    <n v="4724"/>
  </r>
  <r>
    <x v="35"/>
    <x v="0"/>
    <s v="1-ERN6QP "/>
    <x v="4"/>
    <x v="11"/>
    <x v="0"/>
    <x v="3"/>
    <n v="2416"/>
  </r>
  <r>
    <x v="36"/>
    <x v="0"/>
    <s v="1-ERN5E3 "/>
    <x v="0"/>
    <x v="0"/>
    <x v="3"/>
    <x v="3"/>
    <n v="2330"/>
  </r>
  <r>
    <x v="37"/>
    <x v="1"/>
    <s v="1-HUCB8N "/>
    <x v="0"/>
    <x v="7"/>
    <x v="0"/>
    <x v="2"/>
    <n v="1497"/>
  </r>
  <r>
    <x v="38"/>
    <x v="0"/>
    <s v="1-ERD34P "/>
    <x v="0"/>
    <x v="9"/>
    <x v="0"/>
    <x v="9"/>
    <n v="3284"/>
  </r>
  <r>
    <x v="39"/>
    <x v="1"/>
    <s v="1-HXGI2Z "/>
    <x v="1"/>
    <x v="11"/>
    <x v="2"/>
    <x v="1"/>
    <n v="4282"/>
  </r>
  <r>
    <x v="40"/>
    <x v="1"/>
    <s v="1-F844NH "/>
    <x v="3"/>
    <x v="0"/>
    <x v="1"/>
    <x v="9"/>
    <n v="7293"/>
  </r>
  <r>
    <x v="41"/>
    <x v="0"/>
    <s v="1-HY02WL "/>
    <x v="0"/>
    <x v="8"/>
    <x v="2"/>
    <x v="9"/>
    <n v="3619"/>
  </r>
  <r>
    <x v="42"/>
    <x v="0"/>
    <s v="1-FRM17T "/>
    <x v="0"/>
    <x v="6"/>
    <x v="0"/>
    <x v="4"/>
    <n v="7151"/>
  </r>
  <r>
    <x v="43"/>
    <x v="0"/>
    <s v="1-HZ6OLA "/>
    <x v="0"/>
    <x v="12"/>
    <x v="0"/>
    <x v="3"/>
    <n v="7961"/>
  </r>
  <r>
    <x v="44"/>
    <x v="0"/>
    <s v="1-ED2WZP "/>
    <x v="1"/>
    <x v="13"/>
    <x v="0"/>
    <x v="3"/>
    <n v="1077"/>
  </r>
  <r>
    <x v="45"/>
    <x v="0"/>
    <s v="1-G5GKUT "/>
    <x v="1"/>
    <x v="10"/>
    <x v="0"/>
    <x v="8"/>
    <n v="2983"/>
  </r>
  <r>
    <x v="46"/>
    <x v="0"/>
    <s v="1-HY37U5 "/>
    <x v="0"/>
    <x v="13"/>
    <x v="1"/>
    <x v="9"/>
    <n v="3037"/>
  </r>
  <r>
    <x v="47"/>
    <x v="1"/>
    <s v="1-HY2AAN "/>
    <x v="0"/>
    <x v="2"/>
    <x v="2"/>
    <x v="9"/>
    <n v="8726"/>
  </r>
  <r>
    <x v="48"/>
    <x v="0"/>
    <s v="1-FH74UX "/>
    <x v="12"/>
    <x v="8"/>
    <x v="2"/>
    <x v="2"/>
    <n v="2920"/>
  </r>
  <r>
    <x v="49"/>
    <x v="0"/>
    <s v="1-FNL51M "/>
    <x v="10"/>
    <x v="11"/>
    <x v="2"/>
    <x v="7"/>
    <n v="3017"/>
  </r>
  <r>
    <x v="50"/>
    <x v="1"/>
    <s v="1-GCJEWH "/>
    <x v="2"/>
    <x v="7"/>
    <x v="1"/>
    <x v="4"/>
    <n v="5773"/>
  </r>
  <r>
    <x v="51"/>
    <x v="1"/>
    <s v="1-I58CWV "/>
    <x v="4"/>
    <x v="8"/>
    <x v="0"/>
    <x v="0"/>
    <n v="2585"/>
  </r>
  <r>
    <x v="52"/>
    <x v="0"/>
    <s v="1-GG3AL2 "/>
    <x v="1"/>
    <x v="9"/>
    <x v="0"/>
    <x v="8"/>
    <n v="5110"/>
  </r>
  <r>
    <x v="53"/>
    <x v="1"/>
    <s v="1-HUYRHL "/>
    <x v="0"/>
    <x v="2"/>
    <x v="1"/>
    <x v="9"/>
    <n v="8380"/>
  </r>
  <r>
    <x v="54"/>
    <x v="1"/>
    <s v="1-G4A8ZR "/>
    <x v="0"/>
    <x v="2"/>
    <x v="2"/>
    <x v="2"/>
    <n v="5141"/>
  </r>
  <r>
    <x v="55"/>
    <x v="0"/>
    <s v="1-HYXEOW "/>
    <x v="12"/>
    <x v="1"/>
    <x v="2"/>
    <x v="6"/>
    <n v="5464"/>
  </r>
  <r>
    <x v="56"/>
    <x v="0"/>
    <s v="1-HYXEPE "/>
    <x v="0"/>
    <x v="0"/>
    <x v="1"/>
    <x v="6"/>
    <n v="8027"/>
  </r>
  <r>
    <x v="57"/>
    <x v="0"/>
    <s v="1-GV8MEP "/>
    <x v="13"/>
    <x v="2"/>
    <x v="1"/>
    <x v="3"/>
    <n v="5711"/>
  </r>
  <r>
    <x v="58"/>
    <x v="0"/>
    <s v="1-FSALOR "/>
    <x v="7"/>
    <x v="12"/>
    <x v="1"/>
    <x v="9"/>
    <n v="6823"/>
  </r>
  <r>
    <x v="59"/>
    <x v="1"/>
    <s v="1-HZ6ONP "/>
    <x v="0"/>
    <x v="10"/>
    <x v="1"/>
    <x v="2"/>
    <n v="5752"/>
  </r>
  <r>
    <x v="60"/>
    <x v="0"/>
    <s v="1-HYXEP5 "/>
    <x v="12"/>
    <x v="12"/>
    <x v="2"/>
    <x v="3"/>
    <n v="2826"/>
  </r>
  <r>
    <x v="61"/>
    <x v="0"/>
    <s v="1-FIZ4EF "/>
    <x v="0"/>
    <x v="6"/>
    <x v="0"/>
    <x v="1"/>
    <n v="3545"/>
  </r>
  <r>
    <x v="62"/>
    <x v="0"/>
    <s v="1-H3M3N8 "/>
    <x v="0"/>
    <x v="5"/>
    <x v="2"/>
    <x v="4"/>
    <n v="4060"/>
  </r>
  <r>
    <x v="63"/>
    <x v="1"/>
    <s v="1-HYXEPN "/>
    <x v="0"/>
    <x v="10"/>
    <x v="0"/>
    <x v="2"/>
    <n v="6001"/>
  </r>
  <r>
    <x v="64"/>
    <x v="1"/>
    <s v="1-FNOHK8 "/>
    <x v="0"/>
    <x v="10"/>
    <x v="0"/>
    <x v="9"/>
    <n v="6442"/>
  </r>
  <r>
    <x v="65"/>
    <x v="0"/>
    <s v="1-H1LFMP "/>
    <x v="14"/>
    <x v="7"/>
    <x v="0"/>
    <x v="1"/>
    <n v="6190"/>
  </r>
  <r>
    <x v="19"/>
    <x v="1"/>
    <s v="1-FJ347X "/>
    <x v="0"/>
    <x v="4"/>
    <x v="1"/>
    <x v="0"/>
    <n v="4209"/>
  </r>
  <r>
    <x v="66"/>
    <x v="0"/>
    <s v="1-I2HEG9 "/>
    <x v="1"/>
    <x v="10"/>
    <x v="2"/>
    <x v="2"/>
    <n v="4204"/>
  </r>
  <r>
    <x v="67"/>
    <x v="0"/>
    <s v="1-I2HEF2 "/>
    <x v="1"/>
    <x v="3"/>
    <x v="0"/>
    <x v="3"/>
    <n v="1912"/>
  </r>
  <r>
    <x v="2"/>
    <x v="1"/>
    <s v="1-I4S9Q1 "/>
    <x v="1"/>
    <x v="1"/>
    <x v="1"/>
    <x v="5"/>
    <n v="8508"/>
  </r>
  <r>
    <x v="68"/>
    <x v="1"/>
    <s v="1-HZJO51 "/>
    <x v="15"/>
    <x v="0"/>
    <x v="2"/>
    <x v="5"/>
    <n v="3834"/>
  </r>
  <r>
    <x v="69"/>
    <x v="0"/>
    <s v="1-HNRG7C "/>
    <x v="12"/>
    <x v="13"/>
    <x v="0"/>
    <x v="6"/>
    <n v="7907"/>
  </r>
  <r>
    <x v="70"/>
    <x v="1"/>
    <s v="1-HYR0XP "/>
    <x v="1"/>
    <x v="9"/>
    <x v="1"/>
    <x v="6"/>
    <n v="3183"/>
  </r>
  <r>
    <x v="71"/>
    <x v="0"/>
    <s v="1-GDDPEZ "/>
    <x v="0"/>
    <x v="8"/>
    <x v="3"/>
    <x v="0"/>
    <n v="1221"/>
  </r>
  <r>
    <x v="24"/>
    <x v="1"/>
    <s v="1-GG3ALM "/>
    <x v="16"/>
    <x v="9"/>
    <x v="1"/>
    <x v="7"/>
    <n v="4975"/>
  </r>
  <r>
    <x v="32"/>
    <x v="0"/>
    <s v="1-I6BUHT "/>
    <x v="1"/>
    <x v="3"/>
    <x v="0"/>
    <x v="0"/>
    <n v="1916"/>
  </r>
  <r>
    <x v="72"/>
    <x v="1"/>
    <s v="1-FRH6PB "/>
    <x v="1"/>
    <x v="3"/>
    <x v="0"/>
    <x v="0"/>
    <n v="4386"/>
  </r>
  <r>
    <x v="73"/>
    <x v="1"/>
    <s v="1-I6A8SV "/>
    <x v="17"/>
    <x v="7"/>
    <x v="1"/>
    <x v="1"/>
    <n v="4868"/>
  </r>
  <r>
    <x v="74"/>
    <x v="1"/>
    <s v="1-FOHLJ5 "/>
    <x v="0"/>
    <x v="13"/>
    <x v="3"/>
    <x v="9"/>
    <n v="2819"/>
  </r>
  <r>
    <x v="75"/>
    <x v="1"/>
    <s v="1-I3IOKX "/>
    <x v="1"/>
    <x v="1"/>
    <x v="2"/>
    <x v="7"/>
    <n v="5892"/>
  </r>
  <r>
    <x v="76"/>
    <x v="0"/>
    <s v="1-G8NOC3 "/>
    <x v="12"/>
    <x v="13"/>
    <x v="1"/>
    <x v="9"/>
    <n v="6173"/>
  </r>
  <r>
    <x v="77"/>
    <x v="0"/>
    <s v="1-FWCY1H "/>
    <x v="0"/>
    <x v="7"/>
    <x v="3"/>
    <x v="5"/>
    <n v="4035"/>
  </r>
  <r>
    <x v="65"/>
    <x v="0"/>
    <s v="1-I4THVC "/>
    <x v="10"/>
    <x v="13"/>
    <x v="2"/>
    <x v="3"/>
    <n v="2147"/>
  </r>
  <r>
    <x v="78"/>
    <x v="0"/>
    <s v="1-GMILXV "/>
    <x v="6"/>
    <x v="3"/>
    <x v="1"/>
    <x v="9"/>
    <n v="1137"/>
  </r>
  <r>
    <x v="55"/>
    <x v="0"/>
    <s v="1-F7C7OB "/>
    <x v="1"/>
    <x v="12"/>
    <x v="0"/>
    <x v="8"/>
    <n v="3138"/>
  </r>
  <r>
    <x v="48"/>
    <x v="0"/>
    <s v="1-I4LBX5 "/>
    <x v="1"/>
    <x v="4"/>
    <x v="0"/>
    <x v="4"/>
    <n v="5140"/>
  </r>
  <r>
    <x v="79"/>
    <x v="1"/>
    <s v="1-DQTLWQ "/>
    <x v="0"/>
    <x v="6"/>
    <x v="3"/>
    <x v="5"/>
    <n v="6564"/>
  </r>
  <r>
    <x v="57"/>
    <x v="0"/>
    <s v="1-HW95E9 "/>
    <x v="1"/>
    <x v="12"/>
    <x v="3"/>
    <x v="9"/>
    <n v="8983"/>
  </r>
  <r>
    <x v="80"/>
    <x v="0"/>
    <s v="1-FNOHLW "/>
    <x v="0"/>
    <x v="5"/>
    <x v="3"/>
    <x v="0"/>
    <n v="4710"/>
  </r>
  <r>
    <x v="81"/>
    <x v="0"/>
    <s v="1-GG3A9U "/>
    <x v="6"/>
    <x v="0"/>
    <x v="2"/>
    <x v="7"/>
    <n v="4008"/>
  </r>
  <r>
    <x v="82"/>
    <x v="0"/>
    <s v="1-G48HXN "/>
    <x v="3"/>
    <x v="5"/>
    <x v="1"/>
    <x v="1"/>
    <n v="5492"/>
  </r>
  <r>
    <x v="83"/>
    <x v="0"/>
    <s v="1-DQTLVP "/>
    <x v="0"/>
    <x v="0"/>
    <x v="1"/>
    <x v="8"/>
    <n v="5047"/>
  </r>
  <r>
    <x v="28"/>
    <x v="1"/>
    <s v="1-I5GE9J "/>
    <x v="8"/>
    <x v="7"/>
    <x v="0"/>
    <x v="3"/>
    <n v="7802"/>
  </r>
  <r>
    <x v="84"/>
    <x v="1"/>
    <s v="1-FJ0V6F "/>
    <x v="1"/>
    <x v="7"/>
    <x v="1"/>
    <x v="5"/>
    <n v="3129"/>
  </r>
  <r>
    <x v="85"/>
    <x v="1"/>
    <s v="1-IAPGWF "/>
    <x v="0"/>
    <x v="9"/>
    <x v="1"/>
    <x v="2"/>
    <n v="1287"/>
  </r>
  <r>
    <x v="86"/>
    <x v="1"/>
    <s v="1-I6C8VV "/>
    <x v="1"/>
    <x v="1"/>
    <x v="2"/>
    <x v="4"/>
    <n v="5373"/>
  </r>
  <r>
    <x v="87"/>
    <x v="0"/>
    <s v="1-HYZZVT "/>
    <x v="1"/>
    <x v="6"/>
    <x v="1"/>
    <x v="9"/>
    <n v="8218"/>
  </r>
  <r>
    <x v="88"/>
    <x v="1"/>
    <s v="1-HRXONI "/>
    <x v="0"/>
    <x v="9"/>
    <x v="1"/>
    <x v="0"/>
    <n v="6808"/>
  </r>
  <r>
    <x v="89"/>
    <x v="1"/>
    <s v="1-HZ45TL "/>
    <x v="0"/>
    <x v="0"/>
    <x v="0"/>
    <x v="8"/>
    <n v="7399"/>
  </r>
  <r>
    <x v="90"/>
    <x v="0"/>
    <s v="1-GG3AKB "/>
    <x v="0"/>
    <x v="11"/>
    <x v="0"/>
    <x v="3"/>
    <n v="3771"/>
  </r>
  <r>
    <x v="91"/>
    <x v="1"/>
    <s v="1-I42YZ3 "/>
    <x v="1"/>
    <x v="12"/>
    <x v="0"/>
    <x v="5"/>
    <n v="7546"/>
  </r>
  <r>
    <x v="92"/>
    <x v="0"/>
    <s v="1-EPIZTP "/>
    <x v="18"/>
    <x v="0"/>
    <x v="1"/>
    <x v="7"/>
    <n v="8429"/>
  </r>
  <r>
    <x v="93"/>
    <x v="1"/>
    <s v="1-I4S9QY "/>
    <x v="19"/>
    <x v="9"/>
    <x v="0"/>
    <x v="2"/>
    <n v="4610"/>
  </r>
  <r>
    <x v="60"/>
    <x v="0"/>
    <s v="1-GDJCZB "/>
    <x v="1"/>
    <x v="5"/>
    <x v="2"/>
    <x v="9"/>
    <n v="7770"/>
  </r>
  <r>
    <x v="94"/>
    <x v="1"/>
    <s v="1-HXKSET "/>
    <x v="0"/>
    <x v="1"/>
    <x v="0"/>
    <x v="3"/>
    <n v="6564"/>
  </r>
  <r>
    <x v="39"/>
    <x v="1"/>
    <s v="1-HZ4JPB "/>
    <x v="20"/>
    <x v="4"/>
    <x v="0"/>
    <x v="0"/>
    <n v="1139"/>
  </r>
  <r>
    <x v="95"/>
    <x v="0"/>
    <s v="1-DR3OXB "/>
    <x v="0"/>
    <x v="3"/>
    <x v="1"/>
    <x v="3"/>
    <n v="1211"/>
  </r>
  <r>
    <x v="96"/>
    <x v="1"/>
    <s v="1-FJM5OL "/>
    <x v="1"/>
    <x v="8"/>
    <x v="1"/>
    <x v="9"/>
    <n v="3951"/>
  </r>
  <r>
    <x v="97"/>
    <x v="0"/>
    <s v="1-FK4IQP "/>
    <x v="12"/>
    <x v="6"/>
    <x v="0"/>
    <x v="2"/>
    <n v="8076"/>
  </r>
  <r>
    <x v="98"/>
    <x v="1"/>
    <s v="1-FNOHG3 "/>
    <x v="0"/>
    <x v="5"/>
    <x v="0"/>
    <x v="2"/>
    <n v="3901"/>
  </r>
  <r>
    <x v="99"/>
    <x v="0"/>
    <s v="1-I6BUIX "/>
    <x v="21"/>
    <x v="7"/>
    <x v="1"/>
    <x v="9"/>
    <n v="6694"/>
  </r>
  <r>
    <x v="100"/>
    <x v="0"/>
    <s v="1-I6C8WF "/>
    <x v="1"/>
    <x v="2"/>
    <x v="1"/>
    <x v="2"/>
    <n v="6643"/>
  </r>
  <r>
    <x v="101"/>
    <x v="1"/>
    <s v="1-I2K7O5 "/>
    <x v="0"/>
    <x v="10"/>
    <x v="3"/>
    <x v="1"/>
    <n v="2434"/>
  </r>
  <r>
    <x v="102"/>
    <x v="0"/>
    <s v="1-HXU8CV "/>
    <x v="4"/>
    <x v="0"/>
    <x v="2"/>
    <x v="4"/>
    <n v="1038"/>
  </r>
  <r>
    <x v="103"/>
    <x v="0"/>
    <s v="1-ERBD6Z "/>
    <x v="0"/>
    <x v="4"/>
    <x v="0"/>
    <x v="7"/>
    <n v="4317"/>
  </r>
  <r>
    <x v="104"/>
    <x v="1"/>
    <s v="1-I46X7U "/>
    <x v="1"/>
    <x v="11"/>
    <x v="0"/>
    <x v="5"/>
    <n v="2735"/>
  </r>
  <r>
    <x v="105"/>
    <x v="0"/>
    <s v="1-FPP033 "/>
    <x v="0"/>
    <x v="13"/>
    <x v="3"/>
    <x v="4"/>
    <n v="5764"/>
  </r>
  <r>
    <x v="106"/>
    <x v="0"/>
    <s v="1-I46X8X "/>
    <x v="11"/>
    <x v="12"/>
    <x v="2"/>
    <x v="5"/>
    <n v="1909"/>
  </r>
  <r>
    <x v="107"/>
    <x v="0"/>
    <s v="1-GPYYON "/>
    <x v="1"/>
    <x v="11"/>
    <x v="1"/>
    <x v="5"/>
    <n v="1455"/>
  </r>
  <r>
    <x v="108"/>
    <x v="0"/>
    <s v="1-GHJ7FH "/>
    <x v="12"/>
    <x v="11"/>
    <x v="2"/>
    <x v="0"/>
    <n v="2049"/>
  </r>
  <r>
    <x v="109"/>
    <x v="1"/>
    <s v="1-GDDNRT "/>
    <x v="12"/>
    <x v="12"/>
    <x v="1"/>
    <x v="3"/>
    <n v="3652"/>
  </r>
  <r>
    <x v="110"/>
    <x v="0"/>
    <s v="1-F5YSKT "/>
    <x v="0"/>
    <x v="8"/>
    <x v="3"/>
    <x v="1"/>
    <n v="8746"/>
  </r>
  <r>
    <x v="111"/>
    <x v="1"/>
    <s v="1-F16UCV "/>
    <x v="0"/>
    <x v="7"/>
    <x v="0"/>
    <x v="5"/>
    <n v="4471"/>
  </r>
  <r>
    <x v="112"/>
    <x v="1"/>
    <s v="1-GBB0CS "/>
    <x v="0"/>
    <x v="1"/>
    <x v="3"/>
    <x v="2"/>
    <n v="5004"/>
  </r>
  <r>
    <x v="113"/>
    <x v="1"/>
    <s v="1-ERITU3 "/>
    <x v="0"/>
    <x v="8"/>
    <x v="0"/>
    <x v="9"/>
    <n v="3679"/>
  </r>
  <r>
    <x v="114"/>
    <x v="1"/>
    <s v="1-ERN6RJ "/>
    <x v="0"/>
    <x v="1"/>
    <x v="1"/>
    <x v="5"/>
    <n v="2614"/>
  </r>
  <r>
    <x v="115"/>
    <x v="1"/>
    <s v="1-GBTNM9 "/>
    <x v="0"/>
    <x v="4"/>
    <x v="0"/>
    <x v="9"/>
    <n v="8831"/>
  </r>
  <r>
    <x v="116"/>
    <x v="0"/>
    <s v="1-GY5HWA "/>
    <x v="0"/>
    <x v="10"/>
    <x v="2"/>
    <x v="4"/>
    <n v="2769"/>
  </r>
  <r>
    <x v="117"/>
    <x v="1"/>
    <s v="1-HJJ4ZI "/>
    <x v="0"/>
    <x v="4"/>
    <x v="3"/>
    <x v="0"/>
    <n v="3260"/>
  </r>
  <r>
    <x v="118"/>
    <x v="1"/>
    <s v="1-GB4Y72 "/>
    <x v="0"/>
    <x v="10"/>
    <x v="0"/>
    <x v="9"/>
    <n v="8543"/>
  </r>
  <r>
    <x v="119"/>
    <x v="1"/>
    <s v="1-FKW3VP "/>
    <x v="0"/>
    <x v="0"/>
    <x v="3"/>
    <x v="7"/>
    <n v="8338"/>
  </r>
  <r>
    <x v="120"/>
    <x v="1"/>
    <s v="1-GEUWL1 "/>
    <x v="0"/>
    <x v="1"/>
    <x v="1"/>
    <x v="6"/>
    <n v="6313"/>
  </r>
  <r>
    <x v="121"/>
    <x v="1"/>
    <s v="1-AY7CHG "/>
    <x v="0"/>
    <x v="0"/>
    <x v="1"/>
    <x v="6"/>
    <n v="1043"/>
  </r>
  <r>
    <x v="122"/>
    <x v="0"/>
    <s v="1-ERD32R "/>
    <x v="0"/>
    <x v="9"/>
    <x v="0"/>
    <x v="8"/>
    <n v="5853"/>
  </r>
  <r>
    <x v="123"/>
    <x v="1"/>
    <s v="1-GA47Y7 "/>
    <x v="0"/>
    <x v="13"/>
    <x v="2"/>
    <x v="2"/>
    <n v="3669"/>
  </r>
  <r>
    <x v="124"/>
    <x v="0"/>
    <s v="2S-7UNB6 "/>
    <x v="0"/>
    <x v="5"/>
    <x v="1"/>
    <x v="6"/>
    <n v="2769"/>
  </r>
  <r>
    <x v="22"/>
    <x v="0"/>
    <s v="1-ERN5TX "/>
    <x v="0"/>
    <x v="1"/>
    <x v="1"/>
    <x v="0"/>
    <n v="2191"/>
  </r>
  <r>
    <x v="125"/>
    <x v="1"/>
    <s v="1-I8I2AF "/>
    <x v="0"/>
    <x v="10"/>
    <x v="0"/>
    <x v="2"/>
    <n v="2235"/>
  </r>
  <r>
    <x v="126"/>
    <x v="0"/>
    <s v="1-GB8BTV "/>
    <x v="0"/>
    <x v="5"/>
    <x v="1"/>
    <x v="9"/>
    <n v="7413"/>
  </r>
  <r>
    <x v="127"/>
    <x v="1"/>
    <s v="1-HZ6OMM "/>
    <x v="0"/>
    <x v="0"/>
    <x v="0"/>
    <x v="3"/>
    <n v="3886"/>
  </r>
  <r>
    <x v="128"/>
    <x v="1"/>
    <s v="1-ERN56L "/>
    <x v="0"/>
    <x v="2"/>
    <x v="3"/>
    <x v="6"/>
    <n v="2178"/>
  </r>
  <r>
    <x v="129"/>
    <x v="0"/>
    <s v="1-H1AY5K "/>
    <x v="0"/>
    <x v="12"/>
    <x v="0"/>
    <x v="7"/>
    <n v="3533"/>
  </r>
  <r>
    <x v="130"/>
    <x v="1"/>
    <s v="1-HV6RWX "/>
    <x v="0"/>
    <x v="2"/>
    <x v="2"/>
    <x v="0"/>
    <n v="7464"/>
  </r>
  <r>
    <x v="107"/>
    <x v="0"/>
    <s v="1-GBTNM1 "/>
    <x v="0"/>
    <x v="1"/>
    <x v="2"/>
    <x v="1"/>
    <n v="3395"/>
  </r>
  <r>
    <x v="131"/>
    <x v="1"/>
    <s v="1-GB4Y7C "/>
    <x v="0"/>
    <x v="1"/>
    <x v="1"/>
    <x v="1"/>
    <n v="3796"/>
  </r>
  <r>
    <x v="132"/>
    <x v="0"/>
    <s v="1-FKW3ZB "/>
    <x v="0"/>
    <x v="4"/>
    <x v="3"/>
    <x v="6"/>
    <n v="4933"/>
  </r>
  <r>
    <x v="133"/>
    <x v="1"/>
    <s v="1-FKTROV "/>
    <x v="0"/>
    <x v="5"/>
    <x v="3"/>
    <x v="0"/>
    <n v="1682"/>
  </r>
  <r>
    <x v="134"/>
    <x v="0"/>
    <s v="1-H097A4 "/>
    <x v="0"/>
    <x v="11"/>
    <x v="0"/>
    <x v="3"/>
    <n v="3917"/>
  </r>
  <r>
    <x v="135"/>
    <x v="1"/>
    <s v="1-EYWBYO "/>
    <x v="0"/>
    <x v="3"/>
    <x v="1"/>
    <x v="3"/>
    <n v="8051"/>
  </r>
  <r>
    <x v="114"/>
    <x v="1"/>
    <s v="1-GWMV3K "/>
    <x v="0"/>
    <x v="5"/>
    <x v="1"/>
    <x v="3"/>
    <n v="2621"/>
  </r>
  <r>
    <x v="136"/>
    <x v="0"/>
    <s v="1-G4W589 "/>
    <x v="0"/>
    <x v="13"/>
    <x v="1"/>
    <x v="9"/>
    <n v="2641"/>
  </r>
  <r>
    <x v="137"/>
    <x v="0"/>
    <s v="1-GN3KG5 "/>
    <x v="0"/>
    <x v="8"/>
    <x v="1"/>
    <x v="3"/>
    <n v="4486"/>
  </r>
  <r>
    <x v="138"/>
    <x v="1"/>
    <s v="1-FQQM6Q "/>
    <x v="0"/>
    <x v="10"/>
    <x v="1"/>
    <x v="0"/>
    <n v="3038"/>
  </r>
  <r>
    <x v="139"/>
    <x v="1"/>
    <s v="1-ERBD8D "/>
    <x v="0"/>
    <x v="9"/>
    <x v="3"/>
    <x v="6"/>
    <n v="5820"/>
  </r>
  <r>
    <x v="140"/>
    <x v="0"/>
    <s v="1-ERD2VJ "/>
    <x v="0"/>
    <x v="9"/>
    <x v="3"/>
    <x v="5"/>
    <n v="8910"/>
  </r>
  <r>
    <x v="141"/>
    <x v="1"/>
    <s v="1-F16UA2 "/>
    <x v="0"/>
    <x v="8"/>
    <x v="0"/>
    <x v="4"/>
    <n v="2087"/>
  </r>
  <r>
    <x v="142"/>
    <x v="1"/>
    <s v="1-I5QJZ9 "/>
    <x v="0"/>
    <x v="9"/>
    <x v="0"/>
    <x v="8"/>
    <n v="2189"/>
  </r>
  <r>
    <x v="14"/>
    <x v="1"/>
    <s v="1-ERN57Z "/>
    <x v="0"/>
    <x v="9"/>
    <x v="2"/>
    <x v="3"/>
    <n v="1844"/>
  </r>
  <r>
    <x v="25"/>
    <x v="0"/>
    <s v="2S-X03B1 "/>
    <x v="0"/>
    <x v="0"/>
    <x v="3"/>
    <x v="6"/>
    <n v="2558"/>
  </r>
  <r>
    <x v="143"/>
    <x v="1"/>
    <s v="1-ERBDFV "/>
    <x v="0"/>
    <x v="3"/>
    <x v="1"/>
    <x v="1"/>
    <n v="3470"/>
  </r>
  <r>
    <x v="144"/>
    <x v="1"/>
    <s v="1-ERD34Z "/>
    <x v="0"/>
    <x v="11"/>
    <x v="3"/>
    <x v="3"/>
    <n v="5354"/>
  </r>
  <r>
    <x v="145"/>
    <x v="1"/>
    <s v="1-EDEYPW "/>
    <x v="0"/>
    <x v="2"/>
    <x v="3"/>
    <x v="1"/>
    <n v="7884"/>
  </r>
  <r>
    <x v="146"/>
    <x v="1"/>
    <s v="1-EBJ4D8 "/>
    <x v="0"/>
    <x v="10"/>
    <x v="0"/>
    <x v="9"/>
    <n v="7012"/>
  </r>
  <r>
    <x v="147"/>
    <x v="0"/>
    <s v="1-EBJ4CY "/>
    <x v="0"/>
    <x v="7"/>
    <x v="0"/>
    <x v="4"/>
    <n v="5186"/>
  </r>
  <r>
    <x v="148"/>
    <x v="1"/>
    <s v="1-EZMMBB "/>
    <x v="0"/>
    <x v="6"/>
    <x v="3"/>
    <x v="0"/>
    <n v="6969"/>
  </r>
  <r>
    <x v="149"/>
    <x v="1"/>
    <s v="1-GST5O9 "/>
    <x v="0"/>
    <x v="9"/>
    <x v="0"/>
    <x v="1"/>
    <n v="6319"/>
  </r>
  <r>
    <x v="150"/>
    <x v="1"/>
    <s v="1-HU8G0P "/>
    <x v="0"/>
    <x v="0"/>
    <x v="1"/>
    <x v="7"/>
    <n v="1623"/>
  </r>
  <r>
    <x v="151"/>
    <x v="0"/>
    <s v="1-I81AH7 "/>
    <x v="0"/>
    <x v="8"/>
    <x v="3"/>
    <x v="0"/>
    <n v="1970"/>
  </r>
  <r>
    <x v="152"/>
    <x v="1"/>
    <s v="1-GME1J9 "/>
    <x v="0"/>
    <x v="10"/>
    <x v="1"/>
    <x v="2"/>
    <n v="1184"/>
  </r>
  <r>
    <x v="153"/>
    <x v="1"/>
    <s v="1-GLBJLF "/>
    <x v="0"/>
    <x v="12"/>
    <x v="2"/>
    <x v="2"/>
    <n v="6899"/>
  </r>
  <r>
    <x v="27"/>
    <x v="0"/>
    <s v="1-CC7057 "/>
    <x v="0"/>
    <x v="6"/>
    <x v="3"/>
    <x v="9"/>
    <n v="6980"/>
  </r>
  <r>
    <x v="154"/>
    <x v="0"/>
    <s v="1-H2IOX8 "/>
    <x v="0"/>
    <x v="4"/>
    <x v="0"/>
    <x v="9"/>
    <n v="6206"/>
  </r>
  <r>
    <x v="155"/>
    <x v="0"/>
    <s v="1-GA04PB "/>
    <x v="0"/>
    <x v="10"/>
    <x v="0"/>
    <x v="5"/>
    <n v="7011"/>
  </r>
  <r>
    <x v="156"/>
    <x v="1"/>
    <s v="1-ERN5WP "/>
    <x v="0"/>
    <x v="3"/>
    <x v="3"/>
    <x v="6"/>
    <n v="4986"/>
  </r>
  <r>
    <x v="157"/>
    <x v="0"/>
    <s v="1-F6PFXH "/>
    <x v="0"/>
    <x v="4"/>
    <x v="2"/>
    <x v="8"/>
    <n v="4296"/>
  </r>
  <r>
    <x v="158"/>
    <x v="1"/>
    <s v="1-ERN59N "/>
    <x v="0"/>
    <x v="12"/>
    <x v="0"/>
    <x v="5"/>
    <n v="1936"/>
  </r>
  <r>
    <x v="159"/>
    <x v="1"/>
    <s v="1-GHKMKL "/>
    <x v="0"/>
    <x v="10"/>
    <x v="0"/>
    <x v="4"/>
    <n v="6586"/>
  </r>
  <r>
    <x v="156"/>
    <x v="1"/>
    <s v="1-ERN5LL "/>
    <x v="0"/>
    <x v="3"/>
    <x v="1"/>
    <x v="7"/>
    <n v="1815"/>
  </r>
  <r>
    <x v="160"/>
    <x v="0"/>
    <s v="1-GR852Q "/>
    <x v="0"/>
    <x v="0"/>
    <x v="2"/>
    <x v="7"/>
    <n v="4614"/>
  </r>
  <r>
    <x v="156"/>
    <x v="1"/>
    <s v="1-ERD377 "/>
    <x v="0"/>
    <x v="0"/>
    <x v="1"/>
    <x v="7"/>
    <n v="7973"/>
  </r>
  <r>
    <x v="161"/>
    <x v="1"/>
    <s v="1-FGXBIC "/>
    <x v="0"/>
    <x v="7"/>
    <x v="2"/>
    <x v="0"/>
    <n v="2970"/>
  </r>
  <r>
    <x v="162"/>
    <x v="0"/>
    <s v="1-GA368X "/>
    <x v="0"/>
    <x v="8"/>
    <x v="0"/>
    <x v="6"/>
    <n v="8860"/>
  </r>
  <r>
    <x v="163"/>
    <x v="1"/>
    <s v="1-GY5HVA "/>
    <x v="0"/>
    <x v="11"/>
    <x v="1"/>
    <x v="7"/>
    <n v="3195"/>
  </r>
  <r>
    <x v="164"/>
    <x v="1"/>
    <s v="1-DWU8DZ "/>
    <x v="0"/>
    <x v="0"/>
    <x v="2"/>
    <x v="2"/>
    <n v="3561"/>
  </r>
  <r>
    <x v="165"/>
    <x v="1"/>
    <s v="1-H6E0AH "/>
    <x v="0"/>
    <x v="1"/>
    <x v="1"/>
    <x v="2"/>
    <n v="8930"/>
  </r>
  <r>
    <x v="166"/>
    <x v="1"/>
    <s v="1-GB36S7 "/>
    <x v="0"/>
    <x v="13"/>
    <x v="1"/>
    <x v="1"/>
    <n v="6254"/>
  </r>
  <r>
    <x v="167"/>
    <x v="0"/>
    <s v="1-ERD2Z5 "/>
    <x v="0"/>
    <x v="0"/>
    <x v="3"/>
    <x v="4"/>
    <n v="3230"/>
  </r>
  <r>
    <x v="168"/>
    <x v="1"/>
    <s v="1-FP73C9 "/>
    <x v="0"/>
    <x v="7"/>
    <x v="0"/>
    <x v="8"/>
    <n v="1488"/>
  </r>
  <r>
    <x v="61"/>
    <x v="0"/>
    <s v="1-I3Z449 "/>
    <x v="0"/>
    <x v="12"/>
    <x v="2"/>
    <x v="8"/>
    <n v="5254"/>
  </r>
  <r>
    <x v="33"/>
    <x v="0"/>
    <s v="1-ERN5BB "/>
    <x v="0"/>
    <x v="4"/>
    <x v="1"/>
    <x v="7"/>
    <n v="1648"/>
  </r>
  <r>
    <x v="169"/>
    <x v="0"/>
    <s v="1-GA369D "/>
    <x v="0"/>
    <x v="1"/>
    <x v="1"/>
    <x v="8"/>
    <n v="4915"/>
  </r>
  <r>
    <x v="170"/>
    <x v="0"/>
    <s v="1-GEL7HL "/>
    <x v="0"/>
    <x v="12"/>
    <x v="2"/>
    <x v="2"/>
    <n v="2271"/>
  </r>
  <r>
    <x v="70"/>
    <x v="1"/>
    <s v="1-ERIU2F "/>
    <x v="0"/>
    <x v="12"/>
    <x v="1"/>
    <x v="8"/>
    <n v="2977"/>
  </r>
  <r>
    <x v="171"/>
    <x v="1"/>
    <s v="1-GKQIRT "/>
    <x v="8"/>
    <x v="4"/>
    <x v="0"/>
    <x v="7"/>
    <n v="6685"/>
  </r>
  <r>
    <x v="172"/>
    <x v="0"/>
    <s v="1-F9XHEA "/>
    <x v="1"/>
    <x v="11"/>
    <x v="1"/>
    <x v="3"/>
    <n v="1146"/>
  </r>
  <r>
    <x v="173"/>
    <x v="1"/>
    <s v="1-I46X7F "/>
    <x v="1"/>
    <x v="13"/>
    <x v="1"/>
    <x v="9"/>
    <n v="4871"/>
  </r>
  <r>
    <x v="62"/>
    <x v="0"/>
    <s v="1-ERD2YL "/>
    <x v="1"/>
    <x v="4"/>
    <x v="3"/>
    <x v="7"/>
    <n v="6006"/>
  </r>
  <r>
    <x v="174"/>
    <x v="0"/>
    <s v="1-I5GRKA "/>
    <x v="1"/>
    <x v="13"/>
    <x v="3"/>
    <x v="8"/>
    <n v="3471"/>
  </r>
  <r>
    <x v="175"/>
    <x v="1"/>
    <s v="1-GKP663 "/>
    <x v="10"/>
    <x v="5"/>
    <x v="2"/>
    <x v="8"/>
    <n v="3064"/>
  </r>
  <r>
    <x v="73"/>
    <x v="1"/>
    <s v="1-GO6ILK "/>
    <x v="20"/>
    <x v="2"/>
    <x v="0"/>
    <x v="1"/>
    <n v="3862"/>
  </r>
  <r>
    <x v="176"/>
    <x v="0"/>
    <s v="1-GO6IK7 "/>
    <x v="1"/>
    <x v="1"/>
    <x v="2"/>
    <x v="8"/>
    <n v="5987"/>
  </r>
  <r>
    <x v="89"/>
    <x v="1"/>
    <s v="1-I5GRJG "/>
    <x v="11"/>
    <x v="9"/>
    <x v="1"/>
    <x v="5"/>
    <n v="4222"/>
  </r>
  <r>
    <x v="177"/>
    <x v="0"/>
    <s v="1-I5GRM0 "/>
    <x v="1"/>
    <x v="6"/>
    <x v="0"/>
    <x v="2"/>
    <n v="2194"/>
  </r>
  <r>
    <x v="178"/>
    <x v="1"/>
    <s v="1-GJ1DF7 "/>
    <x v="0"/>
    <x v="9"/>
    <x v="2"/>
    <x v="5"/>
    <n v="4597"/>
  </r>
  <r>
    <x v="179"/>
    <x v="0"/>
    <s v="1-E79917 "/>
    <x v="0"/>
    <x v="9"/>
    <x v="2"/>
    <x v="5"/>
    <n v="6238"/>
  </r>
  <r>
    <x v="180"/>
    <x v="0"/>
    <s v="1-DR3OWR "/>
    <x v="0"/>
    <x v="13"/>
    <x v="0"/>
    <x v="7"/>
    <n v="2406"/>
  </r>
  <r>
    <x v="19"/>
    <x v="1"/>
    <s v="1-ERBDK1 "/>
    <x v="0"/>
    <x v="6"/>
    <x v="2"/>
    <x v="6"/>
    <n v="5407"/>
  </r>
  <r>
    <x v="181"/>
    <x v="1"/>
    <s v="1-ERN5GV "/>
    <x v="8"/>
    <x v="7"/>
    <x v="2"/>
    <x v="4"/>
    <n v="5650"/>
  </r>
  <r>
    <x v="157"/>
    <x v="0"/>
    <s v="1-G5HJJI "/>
    <x v="1"/>
    <x v="6"/>
    <x v="1"/>
    <x v="0"/>
    <n v="3847"/>
  </r>
  <r>
    <x v="118"/>
    <x v="1"/>
    <s v="1-HNGS0R "/>
    <x v="1"/>
    <x v="3"/>
    <x v="3"/>
    <x v="9"/>
    <n v="7627"/>
  </r>
  <r>
    <x v="47"/>
    <x v="1"/>
    <s v="1-HM3M25 "/>
    <x v="1"/>
    <x v="12"/>
    <x v="1"/>
    <x v="0"/>
    <n v="6297"/>
  </r>
  <r>
    <x v="179"/>
    <x v="0"/>
    <s v="1-G4W550 "/>
    <x v="6"/>
    <x v="9"/>
    <x v="2"/>
    <x v="5"/>
    <n v="4368"/>
  </r>
  <r>
    <x v="141"/>
    <x v="1"/>
    <s v="1-H8FBS6 "/>
    <x v="22"/>
    <x v="9"/>
    <x v="3"/>
    <x v="3"/>
    <n v="2097"/>
  </r>
  <r>
    <x v="182"/>
    <x v="0"/>
    <s v="1-I2CXEH "/>
    <x v="0"/>
    <x v="2"/>
    <x v="0"/>
    <x v="5"/>
    <n v="7194"/>
  </r>
  <r>
    <x v="183"/>
    <x v="0"/>
    <s v="1-G4W57Q "/>
    <x v="0"/>
    <x v="7"/>
    <x v="3"/>
    <x v="0"/>
    <n v="4409"/>
  </r>
  <r>
    <x v="184"/>
    <x v="0"/>
    <s v="1-G8WSB9 "/>
    <x v="0"/>
    <x v="11"/>
    <x v="1"/>
    <x v="0"/>
    <n v="6789"/>
  </r>
  <r>
    <x v="185"/>
    <x v="0"/>
    <s v="1-ERN5BL "/>
    <x v="0"/>
    <x v="4"/>
    <x v="3"/>
    <x v="1"/>
    <n v="5993"/>
  </r>
  <r>
    <x v="186"/>
    <x v="1"/>
    <s v="1-GLFXH9 "/>
    <x v="17"/>
    <x v="1"/>
    <x v="1"/>
    <x v="4"/>
    <n v="5311"/>
  </r>
  <r>
    <x v="187"/>
    <x v="1"/>
    <s v="1-ERBD9R "/>
    <x v="1"/>
    <x v="10"/>
    <x v="0"/>
    <x v="7"/>
    <n v="3618"/>
  </r>
  <r>
    <x v="188"/>
    <x v="0"/>
    <s v="1-GN23TX "/>
    <x v="0"/>
    <x v="12"/>
    <x v="3"/>
    <x v="7"/>
    <n v="8451"/>
  </r>
  <r>
    <x v="189"/>
    <x v="1"/>
    <s v="1-FKTROB "/>
    <x v="18"/>
    <x v="3"/>
    <x v="1"/>
    <x v="2"/>
    <n v="5722"/>
  </r>
  <r>
    <x v="190"/>
    <x v="1"/>
    <s v="1-I0VZIJ "/>
    <x v="0"/>
    <x v="8"/>
    <x v="2"/>
    <x v="2"/>
    <n v="8073"/>
  </r>
  <r>
    <x v="191"/>
    <x v="1"/>
    <s v="1-GG0992 "/>
    <x v="0"/>
    <x v="5"/>
    <x v="3"/>
    <x v="0"/>
    <n v="2264"/>
  </r>
  <r>
    <x v="135"/>
    <x v="1"/>
    <s v="1-HGPGAH "/>
    <x v="10"/>
    <x v="9"/>
    <x v="1"/>
    <x v="9"/>
    <n v="8978"/>
  </r>
  <r>
    <x v="192"/>
    <x v="0"/>
    <s v="1-I2HEFQ "/>
    <x v="1"/>
    <x v="6"/>
    <x v="1"/>
    <x v="6"/>
    <n v="6170"/>
  </r>
  <r>
    <x v="193"/>
    <x v="0"/>
    <s v="1-HSK2K9 "/>
    <x v="0"/>
    <x v="5"/>
    <x v="3"/>
    <x v="1"/>
    <n v="3077"/>
  </r>
  <r>
    <x v="194"/>
    <x v="0"/>
    <s v="1-GHNOI3 "/>
    <x v="1"/>
    <x v="1"/>
    <x v="0"/>
    <x v="6"/>
    <n v="7200"/>
  </r>
  <r>
    <x v="195"/>
    <x v="0"/>
    <s v="1-G8NLJJ "/>
    <x v="1"/>
    <x v="9"/>
    <x v="0"/>
    <x v="2"/>
    <n v="8126"/>
  </r>
  <r>
    <x v="196"/>
    <x v="1"/>
    <s v="1-CC708J "/>
    <x v="0"/>
    <x v="1"/>
    <x v="0"/>
    <x v="9"/>
    <n v="8856"/>
  </r>
  <r>
    <x v="136"/>
    <x v="0"/>
    <s v="1-I6HAYV "/>
    <x v="0"/>
    <x v="7"/>
    <x v="2"/>
    <x v="7"/>
    <n v="1203"/>
  </r>
  <r>
    <x v="166"/>
    <x v="1"/>
    <s v="1-DWVANH "/>
    <x v="12"/>
    <x v="0"/>
    <x v="3"/>
    <x v="1"/>
    <n v="5883"/>
  </r>
  <r>
    <x v="197"/>
    <x v="0"/>
    <s v="1-FWWXLO "/>
    <x v="0"/>
    <x v="5"/>
    <x v="3"/>
    <x v="7"/>
    <n v="8703"/>
  </r>
  <r>
    <x v="198"/>
    <x v="0"/>
    <s v="1-GG3AFX "/>
    <x v="3"/>
    <x v="8"/>
    <x v="1"/>
    <x v="6"/>
    <n v="6516"/>
  </r>
  <r>
    <x v="199"/>
    <x v="0"/>
    <s v="1-FOHLLW "/>
    <x v="0"/>
    <x v="12"/>
    <x v="0"/>
    <x v="7"/>
    <n v="5993"/>
  </r>
  <r>
    <x v="200"/>
    <x v="0"/>
    <s v="1-FOHLLD "/>
    <x v="0"/>
    <x v="7"/>
    <x v="1"/>
    <x v="1"/>
    <n v="3599"/>
  </r>
  <r>
    <x v="148"/>
    <x v="1"/>
    <s v="1-GG3AM7 "/>
    <x v="8"/>
    <x v="0"/>
    <x v="0"/>
    <x v="6"/>
    <n v="4822"/>
  </r>
  <r>
    <x v="146"/>
    <x v="1"/>
    <s v="1-HZ2AW5 "/>
    <x v="0"/>
    <x v="11"/>
    <x v="2"/>
    <x v="2"/>
    <n v="8336"/>
  </r>
  <r>
    <x v="30"/>
    <x v="1"/>
    <s v="1-GJYYUE "/>
    <x v="1"/>
    <x v="9"/>
    <x v="3"/>
    <x v="6"/>
    <n v="6307"/>
  </r>
  <r>
    <x v="201"/>
    <x v="1"/>
    <s v="1-FP2H89 "/>
    <x v="12"/>
    <x v="0"/>
    <x v="3"/>
    <x v="0"/>
    <n v="5618"/>
  </r>
  <r>
    <x v="100"/>
    <x v="0"/>
    <s v="1-HZ6OJX "/>
    <x v="0"/>
    <x v="7"/>
    <x v="3"/>
    <x v="1"/>
    <n v="6754"/>
  </r>
  <r>
    <x v="6"/>
    <x v="0"/>
    <s v="1-I2HEG0 "/>
    <x v="3"/>
    <x v="10"/>
    <x v="0"/>
    <x v="4"/>
    <n v="7412"/>
  </r>
  <r>
    <x v="202"/>
    <x v="0"/>
    <s v="1-HZ48YN "/>
    <x v="4"/>
    <x v="6"/>
    <x v="3"/>
    <x v="4"/>
    <n v="7296"/>
  </r>
  <r>
    <x v="203"/>
    <x v="0"/>
    <s v="1-FWBO8L "/>
    <x v="1"/>
    <x v="11"/>
    <x v="0"/>
    <x v="2"/>
    <n v="5128"/>
  </r>
  <r>
    <x v="204"/>
    <x v="0"/>
    <s v="1-I4LBW9 "/>
    <x v="20"/>
    <x v="1"/>
    <x v="0"/>
    <x v="1"/>
    <n v="1536"/>
  </r>
  <r>
    <x v="205"/>
    <x v="0"/>
    <s v="1-HRXOTI "/>
    <x v="0"/>
    <x v="7"/>
    <x v="0"/>
    <x v="4"/>
    <n v="7851"/>
  </r>
  <r>
    <x v="206"/>
    <x v="1"/>
    <s v="1-I6C8WZ "/>
    <x v="11"/>
    <x v="1"/>
    <x v="0"/>
    <x v="3"/>
    <n v="1637"/>
  </r>
  <r>
    <x v="207"/>
    <x v="1"/>
    <s v="1-G8LZHJ "/>
    <x v="0"/>
    <x v="1"/>
    <x v="0"/>
    <x v="1"/>
    <n v="4939"/>
  </r>
  <r>
    <x v="208"/>
    <x v="1"/>
    <s v="1-GG3ALX "/>
    <x v="0"/>
    <x v="1"/>
    <x v="3"/>
    <x v="2"/>
    <n v="4393"/>
  </r>
  <r>
    <x v="209"/>
    <x v="0"/>
    <s v="1-HXHH6B "/>
    <x v="4"/>
    <x v="3"/>
    <x v="3"/>
    <x v="4"/>
    <n v="5122"/>
  </r>
  <r>
    <x v="83"/>
    <x v="0"/>
    <s v="1-EUNRWF "/>
    <x v="0"/>
    <x v="3"/>
    <x v="2"/>
    <x v="9"/>
    <n v="7472"/>
  </r>
  <r>
    <x v="210"/>
    <x v="0"/>
    <s v="1-HZ20DJ "/>
    <x v="14"/>
    <x v="4"/>
    <x v="2"/>
    <x v="3"/>
    <n v="6120"/>
  </r>
  <r>
    <x v="73"/>
    <x v="1"/>
    <s v="1-DX26ZI "/>
    <x v="23"/>
    <x v="12"/>
    <x v="3"/>
    <x v="6"/>
    <n v="5345"/>
  </r>
  <r>
    <x v="211"/>
    <x v="0"/>
    <s v="1-FM08FV "/>
    <x v="5"/>
    <x v="12"/>
    <x v="3"/>
    <x v="0"/>
    <n v="3524"/>
  </r>
  <r>
    <x v="122"/>
    <x v="0"/>
    <s v="1-H3SI23 "/>
    <x v="14"/>
    <x v="6"/>
    <x v="1"/>
    <x v="7"/>
    <n v="8581"/>
  </r>
  <r>
    <x v="212"/>
    <x v="0"/>
    <s v="1-GDJD1H "/>
    <x v="13"/>
    <x v="7"/>
    <x v="1"/>
    <x v="6"/>
    <n v="2882"/>
  </r>
  <r>
    <x v="213"/>
    <x v="0"/>
    <s v="1-IB9RJR "/>
    <x v="2"/>
    <x v="3"/>
    <x v="0"/>
    <x v="0"/>
    <n v="5414"/>
  </r>
  <r>
    <x v="91"/>
    <x v="1"/>
    <s v="1-FNOHJ6 "/>
    <x v="23"/>
    <x v="6"/>
    <x v="3"/>
    <x v="0"/>
    <n v="7833"/>
  </r>
  <r>
    <x v="214"/>
    <x v="1"/>
    <s v="1-GX9SA5 "/>
    <x v="23"/>
    <x v="2"/>
    <x v="3"/>
    <x v="3"/>
    <n v="6750"/>
  </r>
  <r>
    <x v="215"/>
    <x v="1"/>
    <s v="1-FOGSX6 "/>
    <x v="23"/>
    <x v="5"/>
    <x v="3"/>
    <x v="4"/>
    <n v="4786"/>
  </r>
  <r>
    <x v="72"/>
    <x v="1"/>
    <s v="1-GJIH2K "/>
    <x v="3"/>
    <x v="4"/>
    <x v="2"/>
    <x v="2"/>
    <n v="2193"/>
  </r>
  <r>
    <x v="120"/>
    <x v="1"/>
    <s v="1-HUEAJB "/>
    <x v="1"/>
    <x v="1"/>
    <x v="0"/>
    <x v="5"/>
    <n v="5231"/>
  </r>
  <r>
    <x v="186"/>
    <x v="1"/>
    <s v="1-FHUSXX "/>
    <x v="1"/>
    <x v="12"/>
    <x v="2"/>
    <x v="0"/>
    <n v="6260"/>
  </r>
  <r>
    <x v="183"/>
    <x v="0"/>
    <s v="1-DD65LD "/>
    <x v="24"/>
    <x v="4"/>
    <x v="3"/>
    <x v="3"/>
    <n v="8633"/>
  </r>
  <r>
    <x v="216"/>
    <x v="0"/>
    <s v="1-I6BLIH "/>
    <x v="1"/>
    <x v="7"/>
    <x v="2"/>
    <x v="0"/>
    <n v="2346"/>
  </r>
  <r>
    <x v="217"/>
    <x v="0"/>
    <s v="1-DQTLY1 "/>
    <x v="4"/>
    <x v="13"/>
    <x v="0"/>
    <x v="1"/>
    <n v="3207"/>
  </r>
  <r>
    <x v="195"/>
    <x v="0"/>
    <s v="1-I6F06L "/>
    <x v="1"/>
    <x v="7"/>
    <x v="0"/>
    <x v="0"/>
    <n v="5880"/>
  </r>
  <r>
    <x v="218"/>
    <x v="1"/>
    <s v="1-FJDRWP "/>
    <x v="9"/>
    <x v="3"/>
    <x v="3"/>
    <x v="8"/>
    <n v="2559"/>
  </r>
  <r>
    <x v="219"/>
    <x v="1"/>
    <s v="1-FOG1QT "/>
    <x v="4"/>
    <x v="9"/>
    <x v="1"/>
    <x v="2"/>
    <n v="7563"/>
  </r>
  <r>
    <x v="220"/>
    <x v="1"/>
    <s v="1-HY7BP7 "/>
    <x v="1"/>
    <x v="3"/>
    <x v="3"/>
    <x v="1"/>
    <n v="6215"/>
  </r>
  <r>
    <x v="221"/>
    <x v="1"/>
    <s v="1-GA0AX9 "/>
    <x v="4"/>
    <x v="1"/>
    <x v="1"/>
    <x v="1"/>
    <n v="8452"/>
  </r>
  <r>
    <x v="222"/>
    <x v="0"/>
    <s v="1-FOHLJG "/>
    <x v="4"/>
    <x v="0"/>
    <x v="1"/>
    <x v="4"/>
    <n v="3409"/>
  </r>
  <r>
    <x v="10"/>
    <x v="1"/>
    <s v="1-E5WAAP "/>
    <x v="1"/>
    <x v="4"/>
    <x v="3"/>
    <x v="3"/>
    <n v="3063"/>
  </r>
  <r>
    <x v="223"/>
    <x v="0"/>
    <s v="1-I5SWET "/>
    <x v="14"/>
    <x v="3"/>
    <x v="0"/>
    <x v="2"/>
    <n v="4179"/>
  </r>
  <r>
    <x v="224"/>
    <x v="0"/>
    <s v="1-GL6Y9F "/>
    <x v="4"/>
    <x v="11"/>
    <x v="3"/>
    <x v="8"/>
    <n v="7771"/>
  </r>
  <r>
    <x v="225"/>
    <x v="0"/>
    <s v="1-DQTLVI "/>
    <x v="4"/>
    <x v="13"/>
    <x v="0"/>
    <x v="1"/>
    <n v="8516"/>
  </r>
  <r>
    <x v="226"/>
    <x v="1"/>
    <s v="1-FJCTKN "/>
    <x v="1"/>
    <x v="11"/>
    <x v="2"/>
    <x v="7"/>
    <n v="6371"/>
  </r>
  <r>
    <x v="227"/>
    <x v="1"/>
    <s v="1-FUX5Y9 "/>
    <x v="1"/>
    <x v="3"/>
    <x v="0"/>
    <x v="2"/>
    <n v="4681"/>
  </r>
  <r>
    <x v="207"/>
    <x v="1"/>
    <s v="1-GAC45T "/>
    <x v="4"/>
    <x v="3"/>
    <x v="2"/>
    <x v="9"/>
    <n v="5274"/>
  </r>
  <r>
    <x v="228"/>
    <x v="0"/>
    <s v="1-GDERVZ "/>
    <x v="4"/>
    <x v="6"/>
    <x v="0"/>
    <x v="0"/>
    <n v="6356"/>
  </r>
  <r>
    <x v="229"/>
    <x v="1"/>
    <s v="1-DQTLTX "/>
    <x v="4"/>
    <x v="7"/>
    <x v="3"/>
    <x v="7"/>
    <n v="2528"/>
  </r>
  <r>
    <x v="230"/>
    <x v="0"/>
    <s v="1-I6A8S1 "/>
    <x v="13"/>
    <x v="11"/>
    <x v="3"/>
    <x v="0"/>
    <n v="7583"/>
  </r>
  <r>
    <x v="231"/>
    <x v="1"/>
    <s v="1-GA5FTM "/>
    <x v="1"/>
    <x v="10"/>
    <x v="3"/>
    <x v="3"/>
    <n v="6335"/>
  </r>
  <r>
    <x v="232"/>
    <x v="0"/>
    <s v="1-GC0TV3 "/>
    <x v="9"/>
    <x v="6"/>
    <x v="3"/>
    <x v="1"/>
    <n v="2320"/>
  </r>
  <r>
    <x v="233"/>
    <x v="0"/>
    <s v="1-I6AKYN "/>
    <x v="1"/>
    <x v="6"/>
    <x v="0"/>
    <x v="1"/>
    <n v="6843"/>
  </r>
  <r>
    <x v="166"/>
    <x v="1"/>
    <s v="1-DR3P14 "/>
    <x v="0"/>
    <x v="11"/>
    <x v="0"/>
    <x v="3"/>
    <n v="1083"/>
  </r>
  <r>
    <x v="234"/>
    <x v="1"/>
    <s v="1-HQMRYF "/>
    <x v="1"/>
    <x v="5"/>
    <x v="2"/>
    <x v="4"/>
    <n v="7415"/>
  </r>
  <r>
    <x v="107"/>
    <x v="0"/>
    <s v="1-GHGUNJ "/>
    <x v="1"/>
    <x v="8"/>
    <x v="2"/>
    <x v="9"/>
    <n v="7010"/>
  </r>
  <r>
    <x v="235"/>
    <x v="1"/>
    <s v="1-I0XNSJ "/>
    <x v="23"/>
    <x v="8"/>
    <x v="3"/>
    <x v="1"/>
    <n v="4177"/>
  </r>
  <r>
    <x v="236"/>
    <x v="0"/>
    <s v="1-I58COD "/>
    <x v="25"/>
    <x v="11"/>
    <x v="2"/>
    <x v="7"/>
    <n v="7050"/>
  </r>
  <r>
    <x v="237"/>
    <x v="1"/>
    <s v="1-DQTLY8 "/>
    <x v="0"/>
    <x v="9"/>
    <x v="2"/>
    <x v="8"/>
    <n v="6524"/>
  </r>
  <r>
    <x v="238"/>
    <x v="1"/>
    <s v="1-DQTLUI "/>
    <x v="0"/>
    <x v="10"/>
    <x v="2"/>
    <x v="3"/>
    <n v="7325"/>
  </r>
  <r>
    <x v="239"/>
    <x v="1"/>
    <s v="1-GCYWKH "/>
    <x v="22"/>
    <x v="2"/>
    <x v="2"/>
    <x v="7"/>
    <n v="4187"/>
  </r>
  <r>
    <x v="132"/>
    <x v="0"/>
    <s v="1-HYZZUZ "/>
    <x v="1"/>
    <x v="1"/>
    <x v="2"/>
    <x v="6"/>
    <n v="4979"/>
  </r>
  <r>
    <x v="240"/>
    <x v="0"/>
    <s v="1-FK1VN5 "/>
    <x v="23"/>
    <x v="9"/>
    <x v="0"/>
    <x v="7"/>
    <n v="1154"/>
  </r>
  <r>
    <x v="241"/>
    <x v="1"/>
    <s v="1-FNL522 "/>
    <x v="23"/>
    <x v="9"/>
    <x v="1"/>
    <x v="6"/>
    <n v="7220"/>
  </r>
  <r>
    <x v="242"/>
    <x v="0"/>
    <s v="1-G4TCLJ "/>
    <x v="23"/>
    <x v="5"/>
    <x v="0"/>
    <x v="5"/>
    <n v="1998"/>
  </r>
  <r>
    <x v="243"/>
    <x v="0"/>
    <s v="1-DQTLW3 "/>
    <x v="23"/>
    <x v="0"/>
    <x v="1"/>
    <x v="2"/>
    <n v="3374"/>
  </r>
  <r>
    <x v="244"/>
    <x v="0"/>
    <s v="1-FFYGKB "/>
    <x v="1"/>
    <x v="5"/>
    <x v="1"/>
    <x v="2"/>
    <n v="8243"/>
  </r>
  <r>
    <x v="245"/>
    <x v="0"/>
    <s v="2N+19R-P6 "/>
    <x v="1"/>
    <x v="2"/>
    <x v="2"/>
    <x v="1"/>
    <n v="1484"/>
  </r>
  <r>
    <x v="193"/>
    <x v="0"/>
    <s v="1-H841E3 "/>
    <x v="19"/>
    <x v="1"/>
    <x v="0"/>
    <x v="2"/>
    <n v="8857"/>
  </r>
  <r>
    <x v="149"/>
    <x v="1"/>
    <s v="1-G3CCPF "/>
    <x v="0"/>
    <x v="7"/>
    <x v="2"/>
    <x v="9"/>
    <n v="4577"/>
  </r>
  <r>
    <x v="246"/>
    <x v="0"/>
    <s v="1-FQ3BYV "/>
    <x v="1"/>
    <x v="2"/>
    <x v="0"/>
    <x v="2"/>
    <n v="8350"/>
  </r>
  <r>
    <x v="247"/>
    <x v="1"/>
    <s v="1-I4LBN3 "/>
    <x v="14"/>
    <x v="8"/>
    <x v="0"/>
    <x v="9"/>
    <n v="6894"/>
  </r>
  <r>
    <x v="248"/>
    <x v="1"/>
    <s v="1-G3CMSF "/>
    <x v="1"/>
    <x v="3"/>
    <x v="3"/>
    <x v="9"/>
    <n v="5000"/>
  </r>
  <r>
    <x v="98"/>
    <x v="1"/>
    <s v="1-GC0TVB "/>
    <x v="1"/>
    <x v="0"/>
    <x v="0"/>
    <x v="1"/>
    <n v="1585"/>
  </r>
  <r>
    <x v="168"/>
    <x v="1"/>
    <s v="1-EBHGXV "/>
    <x v="0"/>
    <x v="9"/>
    <x v="3"/>
    <x v="6"/>
    <n v="8122"/>
  </r>
  <r>
    <x v="249"/>
    <x v="0"/>
    <s v="1-GFJX1J "/>
    <x v="6"/>
    <x v="2"/>
    <x v="3"/>
    <x v="3"/>
    <n v="6032"/>
  </r>
  <r>
    <x v="250"/>
    <x v="0"/>
    <s v="1-GB5W93 "/>
    <x v="24"/>
    <x v="12"/>
    <x v="1"/>
    <x v="2"/>
    <n v="5896"/>
  </r>
  <r>
    <x v="54"/>
    <x v="1"/>
    <s v="1-FJQZ83 "/>
    <x v="0"/>
    <x v="6"/>
    <x v="2"/>
    <x v="7"/>
    <n v="6381"/>
  </r>
  <r>
    <x v="251"/>
    <x v="0"/>
    <s v="1-H3S59T "/>
    <x v="20"/>
    <x v="2"/>
    <x v="2"/>
    <x v="5"/>
    <n v="7233"/>
  </r>
  <r>
    <x v="243"/>
    <x v="0"/>
    <s v="2N+8C-5ZU "/>
    <x v="8"/>
    <x v="7"/>
    <x v="0"/>
    <x v="9"/>
    <n v="5323"/>
  </r>
  <r>
    <x v="252"/>
    <x v="0"/>
    <s v="1-GG3ALC "/>
    <x v="0"/>
    <x v="11"/>
    <x v="3"/>
    <x v="3"/>
    <n v="3901"/>
  </r>
  <r>
    <x v="253"/>
    <x v="0"/>
    <s v="1-I10AC5 "/>
    <x v="1"/>
    <x v="4"/>
    <x v="0"/>
    <x v="8"/>
    <n v="7047"/>
  </r>
  <r>
    <x v="33"/>
    <x v="0"/>
    <s v="1-GDJD3W "/>
    <x v="4"/>
    <x v="7"/>
    <x v="0"/>
    <x v="2"/>
    <n v="6765"/>
  </r>
  <r>
    <x v="178"/>
    <x v="1"/>
    <s v="1-F1449N "/>
    <x v="7"/>
    <x v="11"/>
    <x v="1"/>
    <x v="5"/>
    <n v="2676"/>
  </r>
  <r>
    <x v="188"/>
    <x v="0"/>
    <s v="1-GA5FTF "/>
    <x v="13"/>
    <x v="3"/>
    <x v="2"/>
    <x v="3"/>
    <n v="3749"/>
  </r>
  <r>
    <x v="254"/>
    <x v="1"/>
    <s v="1-GT9KL1 "/>
    <x v="1"/>
    <x v="13"/>
    <x v="2"/>
    <x v="9"/>
    <n v="7602"/>
  </r>
  <r>
    <x v="255"/>
    <x v="0"/>
    <s v="1-EJN7BT "/>
    <x v="20"/>
    <x v="0"/>
    <x v="3"/>
    <x v="9"/>
    <n v="8147"/>
  </r>
  <r>
    <x v="256"/>
    <x v="1"/>
    <s v="1-GCFKGZ "/>
    <x v="11"/>
    <x v="7"/>
    <x v="2"/>
    <x v="0"/>
    <n v="8384"/>
  </r>
  <r>
    <x v="246"/>
    <x v="0"/>
    <s v="1-I4S9V4 "/>
    <x v="16"/>
    <x v="5"/>
    <x v="0"/>
    <x v="0"/>
    <n v="2829"/>
  </r>
  <r>
    <x v="257"/>
    <x v="0"/>
    <s v="1-GCJEYL "/>
    <x v="20"/>
    <x v="4"/>
    <x v="3"/>
    <x v="9"/>
    <n v="2260"/>
  </r>
  <r>
    <x v="258"/>
    <x v="1"/>
    <s v="1-GG3AI0 "/>
    <x v="0"/>
    <x v="9"/>
    <x v="2"/>
    <x v="4"/>
    <n v="2695"/>
  </r>
  <r>
    <x v="259"/>
    <x v="1"/>
    <s v="1-GJIHAX "/>
    <x v="1"/>
    <x v="5"/>
    <x v="3"/>
    <x v="9"/>
    <n v="3457"/>
  </r>
  <r>
    <x v="260"/>
    <x v="1"/>
    <s v="1-I4S9RV "/>
    <x v="15"/>
    <x v="13"/>
    <x v="0"/>
    <x v="9"/>
    <n v="6299"/>
  </r>
  <r>
    <x v="261"/>
    <x v="0"/>
    <s v="1-DQTLUB "/>
    <x v="0"/>
    <x v="3"/>
    <x v="2"/>
    <x v="3"/>
    <n v="4532"/>
  </r>
  <r>
    <x v="262"/>
    <x v="1"/>
    <s v="1-EOH22T "/>
    <x v="1"/>
    <x v="9"/>
    <x v="3"/>
    <x v="4"/>
    <n v="6043"/>
  </r>
  <r>
    <x v="263"/>
    <x v="1"/>
    <s v="1-HJ00J7 "/>
    <x v="0"/>
    <x v="1"/>
    <x v="2"/>
    <x v="6"/>
    <n v="5922"/>
  </r>
  <r>
    <x v="182"/>
    <x v="0"/>
    <s v="1-I58CVQ "/>
    <x v="1"/>
    <x v="13"/>
    <x v="1"/>
    <x v="5"/>
    <n v="3908"/>
  </r>
  <r>
    <x v="129"/>
    <x v="0"/>
    <s v="1-DQTLVB "/>
    <x v="0"/>
    <x v="6"/>
    <x v="3"/>
    <x v="1"/>
    <n v="1525"/>
  </r>
  <r>
    <x v="264"/>
    <x v="0"/>
    <s v="1-FJMNGL "/>
    <x v="1"/>
    <x v="13"/>
    <x v="0"/>
    <x v="1"/>
    <n v="5526"/>
  </r>
  <r>
    <x v="265"/>
    <x v="0"/>
    <s v="1-FOHLIK "/>
    <x v="0"/>
    <x v="1"/>
    <x v="1"/>
    <x v="2"/>
    <n v="8605"/>
  </r>
  <r>
    <x v="103"/>
    <x v="0"/>
    <s v="1-I2HEGJ "/>
    <x v="19"/>
    <x v="6"/>
    <x v="2"/>
    <x v="1"/>
    <n v="7723"/>
  </r>
  <r>
    <x v="266"/>
    <x v="1"/>
    <s v="1-FNIMCT "/>
    <x v="0"/>
    <x v="13"/>
    <x v="1"/>
    <x v="0"/>
    <n v="4302"/>
  </r>
  <r>
    <x v="267"/>
    <x v="0"/>
    <s v="1-HM72IP "/>
    <x v="23"/>
    <x v="10"/>
    <x v="2"/>
    <x v="8"/>
    <n v="5425"/>
  </r>
  <r>
    <x v="9"/>
    <x v="0"/>
    <s v="1-DQTLU4 "/>
    <x v="0"/>
    <x v="1"/>
    <x v="1"/>
    <x v="5"/>
    <n v="6288"/>
  </r>
  <r>
    <x v="268"/>
    <x v="1"/>
    <s v="1-FOHLKL "/>
    <x v="23"/>
    <x v="8"/>
    <x v="3"/>
    <x v="1"/>
    <n v="3997"/>
  </r>
  <r>
    <x v="269"/>
    <x v="1"/>
    <s v="1-FJ0X6N "/>
    <x v="1"/>
    <x v="5"/>
    <x v="2"/>
    <x v="7"/>
    <n v="6604"/>
  </r>
  <r>
    <x v="248"/>
    <x v="1"/>
    <s v="1-H69H9N "/>
    <x v="0"/>
    <x v="7"/>
    <x v="1"/>
    <x v="3"/>
    <n v="2317"/>
  </r>
  <r>
    <x v="270"/>
    <x v="1"/>
    <s v="1-FOHLKV "/>
    <x v="0"/>
    <x v="1"/>
    <x v="2"/>
    <x v="0"/>
    <n v="2672"/>
  </r>
  <r>
    <x v="1"/>
    <x v="0"/>
    <s v="1-F9XHER "/>
    <x v="8"/>
    <x v="10"/>
    <x v="1"/>
    <x v="0"/>
    <n v="5050"/>
  </r>
  <r>
    <x v="218"/>
    <x v="1"/>
    <s v="1-G4A8YT "/>
    <x v="0"/>
    <x v="3"/>
    <x v="3"/>
    <x v="5"/>
    <n v="4459"/>
  </r>
  <r>
    <x v="5"/>
    <x v="1"/>
    <s v="1-E6VIN2 "/>
    <x v="0"/>
    <x v="1"/>
    <x v="0"/>
    <x v="8"/>
    <n v="8671"/>
  </r>
  <r>
    <x v="90"/>
    <x v="0"/>
    <s v="1-I575FN "/>
    <x v="1"/>
    <x v="3"/>
    <x v="0"/>
    <x v="0"/>
    <n v="1070"/>
  </r>
  <r>
    <x v="271"/>
    <x v="1"/>
    <s v="1-GCFKJZ "/>
    <x v="1"/>
    <x v="9"/>
    <x v="1"/>
    <x v="8"/>
    <n v="3403"/>
  </r>
  <r>
    <x v="272"/>
    <x v="1"/>
    <s v="1-GDAIB2 "/>
    <x v="17"/>
    <x v="7"/>
    <x v="3"/>
    <x v="7"/>
    <n v="7499"/>
  </r>
  <r>
    <x v="273"/>
    <x v="0"/>
    <s v="1-FQPMG2 "/>
    <x v="0"/>
    <x v="11"/>
    <x v="0"/>
    <x v="7"/>
    <n v="1255"/>
  </r>
  <r>
    <x v="32"/>
    <x v="0"/>
    <s v="1-I6D531 "/>
    <x v="20"/>
    <x v="9"/>
    <x v="2"/>
    <x v="7"/>
    <n v="5931"/>
  </r>
  <r>
    <x v="88"/>
    <x v="1"/>
    <s v="1-I6F06V "/>
    <x v="1"/>
    <x v="12"/>
    <x v="1"/>
    <x v="3"/>
    <n v="3359"/>
  </r>
  <r>
    <x v="274"/>
    <x v="0"/>
    <s v="1-I4THS7 "/>
    <x v="1"/>
    <x v="0"/>
    <x v="1"/>
    <x v="0"/>
    <n v="5647"/>
  </r>
  <r>
    <x v="275"/>
    <x v="1"/>
    <s v="1-GBSK8X "/>
    <x v="0"/>
    <x v="7"/>
    <x v="2"/>
    <x v="8"/>
    <n v="1069"/>
  </r>
  <r>
    <x v="93"/>
    <x v="1"/>
    <s v="1-GB4QTZ "/>
    <x v="1"/>
    <x v="1"/>
    <x v="0"/>
    <x v="1"/>
    <n v="3243"/>
  </r>
  <r>
    <x v="276"/>
    <x v="0"/>
    <s v="1-I8NKLV "/>
    <x v="12"/>
    <x v="9"/>
    <x v="2"/>
    <x v="5"/>
    <n v="2489"/>
  </r>
  <r>
    <x v="277"/>
    <x v="1"/>
    <s v="1-GJYYTC "/>
    <x v="21"/>
    <x v="6"/>
    <x v="2"/>
    <x v="0"/>
    <n v="4933"/>
  </r>
  <r>
    <x v="232"/>
    <x v="0"/>
    <s v="1-DWVBEF "/>
    <x v="12"/>
    <x v="5"/>
    <x v="2"/>
    <x v="3"/>
    <n v="7702"/>
  </r>
  <r>
    <x v="278"/>
    <x v="1"/>
    <s v="1-HXOHFZ "/>
    <x v="12"/>
    <x v="1"/>
    <x v="3"/>
    <x v="9"/>
    <n v="3684"/>
  </r>
  <r>
    <x v="148"/>
    <x v="1"/>
    <s v="1-I352MP "/>
    <x v="1"/>
    <x v="10"/>
    <x v="1"/>
    <x v="7"/>
    <n v="7527"/>
  </r>
  <r>
    <x v="13"/>
    <x v="1"/>
    <s v="1-HO8E43 "/>
    <x v="0"/>
    <x v="9"/>
    <x v="3"/>
    <x v="9"/>
    <n v="6394"/>
  </r>
  <r>
    <x v="279"/>
    <x v="0"/>
    <s v="1-FKC58O "/>
    <x v="10"/>
    <x v="12"/>
    <x v="2"/>
    <x v="4"/>
    <n v="6420"/>
  </r>
  <r>
    <x v="280"/>
    <x v="1"/>
    <s v="1-FOHLL5 "/>
    <x v="12"/>
    <x v="6"/>
    <x v="3"/>
    <x v="5"/>
    <n v="8837"/>
  </r>
  <r>
    <x v="281"/>
    <x v="0"/>
    <s v="1-HZ2L8D "/>
    <x v="12"/>
    <x v="7"/>
    <x v="1"/>
    <x v="3"/>
    <n v="2392"/>
  </r>
  <r>
    <x v="282"/>
    <x v="1"/>
    <s v="1-FK4IQD "/>
    <x v="12"/>
    <x v="10"/>
    <x v="3"/>
    <x v="6"/>
    <n v="5879"/>
  </r>
  <r>
    <x v="283"/>
    <x v="0"/>
    <s v="1-H1OWBB "/>
    <x v="4"/>
    <x v="5"/>
    <x v="2"/>
    <x v="1"/>
    <n v="5889"/>
  </r>
  <r>
    <x v="212"/>
    <x v="0"/>
    <s v="1-HO6L2L "/>
    <x v="16"/>
    <x v="12"/>
    <x v="1"/>
    <x v="9"/>
    <n v="4212"/>
  </r>
  <r>
    <x v="284"/>
    <x v="0"/>
    <s v="1-HSMUXL "/>
    <x v="1"/>
    <x v="13"/>
    <x v="3"/>
    <x v="8"/>
    <n v="3191"/>
  </r>
  <r>
    <x v="28"/>
    <x v="1"/>
    <s v="1-I6A8TP "/>
    <x v="11"/>
    <x v="11"/>
    <x v="0"/>
    <x v="7"/>
    <n v="4698"/>
  </r>
  <r>
    <x v="188"/>
    <x v="0"/>
    <s v="1-HABR0L "/>
    <x v="0"/>
    <x v="11"/>
    <x v="0"/>
    <x v="5"/>
    <n v="7325"/>
  </r>
  <r>
    <x v="120"/>
    <x v="1"/>
    <s v="1-HZ24WB "/>
    <x v="1"/>
    <x v="2"/>
    <x v="3"/>
    <x v="6"/>
    <n v="8686"/>
  </r>
  <r>
    <x v="285"/>
    <x v="1"/>
    <s v="1-I5L49T "/>
    <x v="18"/>
    <x v="4"/>
    <x v="2"/>
    <x v="7"/>
    <n v="6417"/>
  </r>
  <r>
    <x v="286"/>
    <x v="0"/>
    <s v="1-FUX5YH "/>
    <x v="1"/>
    <x v="10"/>
    <x v="3"/>
    <x v="4"/>
    <n v="8669"/>
  </r>
  <r>
    <x v="273"/>
    <x v="0"/>
    <s v="1-FOHLKB "/>
    <x v="4"/>
    <x v="1"/>
    <x v="1"/>
    <x v="6"/>
    <n v="5712"/>
  </r>
  <r>
    <x v="234"/>
    <x v="1"/>
    <s v="1-FOHLHT "/>
    <x v="0"/>
    <x v="11"/>
    <x v="3"/>
    <x v="0"/>
    <n v="2939"/>
  </r>
  <r>
    <x v="287"/>
    <x v="1"/>
    <s v="1-FM34BJ "/>
    <x v="0"/>
    <x v="9"/>
    <x v="1"/>
    <x v="2"/>
    <n v="4728"/>
  </r>
  <r>
    <x v="288"/>
    <x v="0"/>
    <s v="1-FOHLJQ "/>
    <x v="4"/>
    <x v="12"/>
    <x v="3"/>
    <x v="9"/>
    <n v="8721"/>
  </r>
  <r>
    <x v="289"/>
    <x v="1"/>
    <s v="1-ERN5LB "/>
    <x v="0"/>
    <x v="9"/>
    <x v="1"/>
    <x v="0"/>
    <n v="3102"/>
  </r>
  <r>
    <x v="290"/>
    <x v="0"/>
    <s v="1-ERITZ3 "/>
    <x v="0"/>
    <x v="3"/>
    <x v="0"/>
    <x v="6"/>
    <n v="5976"/>
  </r>
  <r>
    <x v="291"/>
    <x v="0"/>
    <s v="1-GZV9Z5 "/>
    <x v="0"/>
    <x v="1"/>
    <x v="1"/>
    <x v="1"/>
    <n v="7553"/>
  </r>
  <r>
    <x v="292"/>
    <x v="1"/>
    <s v="1-E0ODMA "/>
    <x v="0"/>
    <x v="9"/>
    <x v="2"/>
    <x v="2"/>
    <n v="5954"/>
  </r>
  <r>
    <x v="293"/>
    <x v="0"/>
    <s v="1-F1DZE3 "/>
    <x v="0"/>
    <x v="13"/>
    <x v="3"/>
    <x v="3"/>
    <n v="6059"/>
  </r>
  <r>
    <x v="294"/>
    <x v="0"/>
    <s v="1-ERD2T1 "/>
    <x v="0"/>
    <x v="9"/>
    <x v="2"/>
    <x v="0"/>
    <n v="2597"/>
  </r>
  <r>
    <x v="295"/>
    <x v="1"/>
    <s v="1-FKE8LN "/>
    <x v="1"/>
    <x v="3"/>
    <x v="1"/>
    <x v="0"/>
    <n v="2303"/>
  </r>
  <r>
    <x v="3"/>
    <x v="1"/>
    <s v="1-ERITZN "/>
    <x v="21"/>
    <x v="0"/>
    <x v="2"/>
    <x v="4"/>
    <n v="5377"/>
  </r>
  <r>
    <x v="296"/>
    <x v="0"/>
    <s v="1-ERD2VT "/>
    <x v="0"/>
    <x v="7"/>
    <x v="0"/>
    <x v="2"/>
    <n v="2733"/>
  </r>
  <r>
    <x v="20"/>
    <x v="1"/>
    <s v="1-G3AFDJ "/>
    <x v="0"/>
    <x v="12"/>
    <x v="1"/>
    <x v="0"/>
    <n v="3795"/>
  </r>
  <r>
    <x v="193"/>
    <x v="0"/>
    <s v="1-G8FXHT "/>
    <x v="0"/>
    <x v="11"/>
    <x v="3"/>
    <x v="2"/>
    <n v="3140"/>
  </r>
  <r>
    <x v="297"/>
    <x v="0"/>
    <s v="1-FJDRKH "/>
    <x v="0"/>
    <x v="12"/>
    <x v="2"/>
    <x v="7"/>
    <n v="1603"/>
  </r>
  <r>
    <x v="290"/>
    <x v="0"/>
    <s v="1-ERN5LV "/>
    <x v="1"/>
    <x v="12"/>
    <x v="3"/>
    <x v="0"/>
    <n v="8560"/>
  </r>
  <r>
    <x v="224"/>
    <x v="0"/>
    <s v="1-GMS77B "/>
    <x v="0"/>
    <x v="12"/>
    <x v="0"/>
    <x v="3"/>
    <n v="2092"/>
  </r>
  <r>
    <x v="265"/>
    <x v="0"/>
    <s v="1-GA3695 "/>
    <x v="0"/>
    <x v="13"/>
    <x v="3"/>
    <x v="1"/>
    <n v="3483"/>
  </r>
  <r>
    <x v="298"/>
    <x v="1"/>
    <s v="1-FB39UD "/>
    <x v="0"/>
    <x v="8"/>
    <x v="0"/>
    <x v="6"/>
    <n v="1309"/>
  </r>
  <r>
    <x v="13"/>
    <x v="1"/>
    <s v="1-I37CPL "/>
    <x v="0"/>
    <x v="8"/>
    <x v="3"/>
    <x v="0"/>
    <n v="1574"/>
  </r>
  <r>
    <x v="299"/>
    <x v="1"/>
    <s v="1-ERN5QV "/>
    <x v="0"/>
    <x v="4"/>
    <x v="2"/>
    <x v="2"/>
    <n v="8277"/>
  </r>
  <r>
    <x v="300"/>
    <x v="1"/>
    <s v="1-HPOL3W "/>
    <x v="1"/>
    <x v="4"/>
    <x v="3"/>
    <x v="4"/>
    <n v="1652"/>
  </r>
  <r>
    <x v="301"/>
    <x v="0"/>
    <s v="1-I4I9WF "/>
    <x v="16"/>
    <x v="2"/>
    <x v="3"/>
    <x v="0"/>
    <n v="4736"/>
  </r>
  <r>
    <x v="302"/>
    <x v="0"/>
    <s v="1-FHYH8G "/>
    <x v="0"/>
    <x v="6"/>
    <x v="1"/>
    <x v="8"/>
    <n v="4489"/>
  </r>
  <r>
    <x v="303"/>
    <x v="1"/>
    <s v="1-ID2TGX "/>
    <x v="0"/>
    <x v="0"/>
    <x v="3"/>
    <x v="2"/>
    <n v="8953"/>
  </r>
  <r>
    <x v="304"/>
    <x v="0"/>
    <s v="1-ERD2R3 "/>
    <x v="0"/>
    <x v="3"/>
    <x v="0"/>
    <x v="6"/>
    <n v="8885"/>
  </r>
  <r>
    <x v="305"/>
    <x v="1"/>
    <s v="1-FOXN6H "/>
    <x v="0"/>
    <x v="6"/>
    <x v="3"/>
    <x v="3"/>
    <n v="1309"/>
  </r>
  <r>
    <x v="306"/>
    <x v="1"/>
    <s v="1-E0ODMJ "/>
    <x v="0"/>
    <x v="5"/>
    <x v="2"/>
    <x v="1"/>
    <n v="8578"/>
  </r>
  <r>
    <x v="126"/>
    <x v="0"/>
    <s v="1-F58UQH "/>
    <x v="0"/>
    <x v="6"/>
    <x v="0"/>
    <x v="1"/>
    <n v="6012"/>
  </r>
  <r>
    <x v="307"/>
    <x v="1"/>
    <s v="1-EPANZ6 "/>
    <x v="1"/>
    <x v="2"/>
    <x v="1"/>
    <x v="9"/>
    <n v="5543"/>
  </r>
  <r>
    <x v="308"/>
    <x v="0"/>
    <s v="1-I4KPBU "/>
    <x v="5"/>
    <x v="3"/>
    <x v="2"/>
    <x v="2"/>
    <n v="1768"/>
  </r>
  <r>
    <x v="309"/>
    <x v="0"/>
    <s v="1-HSMUXZ "/>
    <x v="9"/>
    <x v="4"/>
    <x v="1"/>
    <x v="6"/>
    <n v="2772"/>
  </r>
  <r>
    <x v="69"/>
    <x v="0"/>
    <s v="1-GPYYPB "/>
    <x v="8"/>
    <x v="2"/>
    <x v="1"/>
    <x v="5"/>
    <n v="5342"/>
  </r>
  <r>
    <x v="54"/>
    <x v="1"/>
    <s v="1-I6A8UJ "/>
    <x v="18"/>
    <x v="13"/>
    <x v="0"/>
    <x v="3"/>
    <n v="2469"/>
  </r>
  <r>
    <x v="310"/>
    <x v="0"/>
    <s v="1-GB8BU9 "/>
    <x v="22"/>
    <x v="7"/>
    <x v="2"/>
    <x v="0"/>
    <n v="3515"/>
  </r>
  <r>
    <x v="311"/>
    <x v="0"/>
    <s v="1-I4KPAO "/>
    <x v="6"/>
    <x v="13"/>
    <x v="0"/>
    <x v="6"/>
    <n v="5276"/>
  </r>
  <r>
    <x v="121"/>
    <x v="1"/>
    <s v="1-HYNA93 "/>
    <x v="1"/>
    <x v="12"/>
    <x v="0"/>
    <x v="7"/>
    <n v="6597"/>
  </r>
  <r>
    <x v="312"/>
    <x v="1"/>
    <s v="1-FQ1DZV "/>
    <x v="12"/>
    <x v="4"/>
    <x v="3"/>
    <x v="8"/>
    <n v="4919"/>
  </r>
  <r>
    <x v="313"/>
    <x v="1"/>
    <s v="1-FJ349L "/>
    <x v="0"/>
    <x v="9"/>
    <x v="0"/>
    <x v="9"/>
    <n v="5501"/>
  </r>
  <r>
    <x v="314"/>
    <x v="1"/>
    <s v="1-GC81IL "/>
    <x v="12"/>
    <x v="10"/>
    <x v="3"/>
    <x v="0"/>
    <n v="1932"/>
  </r>
  <r>
    <x v="315"/>
    <x v="1"/>
    <s v="1-GDLOEN "/>
    <x v="12"/>
    <x v="13"/>
    <x v="0"/>
    <x v="0"/>
    <n v="1929"/>
  </r>
  <r>
    <x v="316"/>
    <x v="1"/>
    <s v="1-DQTLUP "/>
    <x v="12"/>
    <x v="8"/>
    <x v="2"/>
    <x v="2"/>
    <n v="8754"/>
  </r>
  <r>
    <x v="91"/>
    <x v="1"/>
    <s v="1-HJ00I8 "/>
    <x v="0"/>
    <x v="5"/>
    <x v="2"/>
    <x v="9"/>
    <n v="8491"/>
  </r>
  <r>
    <x v="317"/>
    <x v="1"/>
    <s v="1-I5X1CB "/>
    <x v="4"/>
    <x v="4"/>
    <x v="2"/>
    <x v="9"/>
    <n v="8914"/>
  </r>
  <r>
    <x v="318"/>
    <x v="0"/>
    <s v="1-FK4INO "/>
    <x v="0"/>
    <x v="4"/>
    <x v="3"/>
    <x v="2"/>
    <n v="6906"/>
  </r>
  <r>
    <x v="20"/>
    <x v="1"/>
    <s v="1-I43KAV "/>
    <x v="16"/>
    <x v="1"/>
    <x v="2"/>
    <x v="6"/>
    <n v="5780"/>
  </r>
  <r>
    <x v="319"/>
    <x v="1"/>
    <s v="1-HZ1PGR "/>
    <x v="13"/>
    <x v="10"/>
    <x v="3"/>
    <x v="7"/>
    <n v="4671"/>
  </r>
  <r>
    <x v="320"/>
    <x v="0"/>
    <s v="1-I4KP9Q "/>
    <x v="2"/>
    <x v="11"/>
    <x v="0"/>
    <x v="6"/>
    <n v="8748"/>
  </r>
  <r>
    <x v="321"/>
    <x v="1"/>
    <s v="1-GK1DF1 "/>
    <x v="0"/>
    <x v="0"/>
    <x v="0"/>
    <x v="9"/>
    <n v="3177"/>
  </r>
  <r>
    <x v="322"/>
    <x v="1"/>
    <s v="1-GK6RUH "/>
    <x v="12"/>
    <x v="1"/>
    <x v="2"/>
    <x v="1"/>
    <n v="6477"/>
  </r>
  <r>
    <x v="323"/>
    <x v="1"/>
    <s v="1-GJVGVX "/>
    <x v="12"/>
    <x v="1"/>
    <x v="2"/>
    <x v="6"/>
    <n v="4744"/>
  </r>
  <r>
    <x v="324"/>
    <x v="0"/>
    <s v="1-GK2H2J "/>
    <x v="12"/>
    <x v="12"/>
    <x v="3"/>
    <x v="8"/>
    <n v="7679"/>
  </r>
  <r>
    <x v="252"/>
    <x v="0"/>
    <s v="1-GK4VYB "/>
    <x v="1"/>
    <x v="8"/>
    <x v="0"/>
    <x v="5"/>
    <n v="4288"/>
  </r>
  <r>
    <x v="292"/>
    <x v="1"/>
    <s v="1-HMDVSQ "/>
    <x v="1"/>
    <x v="2"/>
    <x v="0"/>
    <x v="3"/>
    <n v="4501"/>
  </r>
  <r>
    <x v="282"/>
    <x v="1"/>
    <s v="1-GKB30B "/>
    <x v="18"/>
    <x v="2"/>
    <x v="3"/>
    <x v="0"/>
    <n v="7062"/>
  </r>
  <r>
    <x v="325"/>
    <x v="1"/>
    <s v="1-I35R7L "/>
    <x v="1"/>
    <x v="4"/>
    <x v="3"/>
    <x v="7"/>
    <n v="7108"/>
  </r>
  <r>
    <x v="58"/>
    <x v="0"/>
    <s v="1-GK3CPZ "/>
    <x v="21"/>
    <x v="4"/>
    <x v="0"/>
    <x v="4"/>
    <n v="4515"/>
  </r>
  <r>
    <x v="326"/>
    <x v="1"/>
    <s v="1-GT0X6H "/>
    <x v="0"/>
    <x v="4"/>
    <x v="0"/>
    <x v="5"/>
    <n v="8312"/>
  </r>
  <r>
    <x v="327"/>
    <x v="1"/>
    <s v="1-HZ21RT "/>
    <x v="5"/>
    <x v="7"/>
    <x v="0"/>
    <x v="1"/>
    <n v="4088"/>
  </r>
  <r>
    <x v="233"/>
    <x v="0"/>
    <s v="1-GWYZKS "/>
    <x v="1"/>
    <x v="8"/>
    <x v="0"/>
    <x v="6"/>
    <n v="2132"/>
  </r>
  <r>
    <x v="328"/>
    <x v="1"/>
    <s v="1-FNJVBT "/>
    <x v="21"/>
    <x v="1"/>
    <x v="3"/>
    <x v="5"/>
    <n v="1254"/>
  </r>
  <r>
    <x v="329"/>
    <x v="0"/>
    <s v="1-H83UVT "/>
    <x v="1"/>
    <x v="6"/>
    <x v="1"/>
    <x v="9"/>
    <n v="2600"/>
  </r>
  <r>
    <x v="330"/>
    <x v="0"/>
    <s v="1-FSGUFN "/>
    <x v="1"/>
    <x v="4"/>
    <x v="1"/>
    <x v="2"/>
    <n v="7180"/>
  </r>
  <r>
    <x v="331"/>
    <x v="0"/>
    <s v="1-HZ1UWB "/>
    <x v="10"/>
    <x v="8"/>
    <x v="2"/>
    <x v="1"/>
    <n v="2881"/>
  </r>
  <r>
    <x v="49"/>
    <x v="0"/>
    <s v="1-GBSUBH "/>
    <x v="1"/>
    <x v="8"/>
    <x v="1"/>
    <x v="7"/>
    <n v="4099"/>
  </r>
  <r>
    <x v="332"/>
    <x v="0"/>
    <s v="1-I4LB7L "/>
    <x v="1"/>
    <x v="11"/>
    <x v="0"/>
    <x v="7"/>
    <n v="7574"/>
  </r>
  <r>
    <x v="13"/>
    <x v="1"/>
    <s v="1-FSGUEZ "/>
    <x v="1"/>
    <x v="7"/>
    <x v="2"/>
    <x v="3"/>
    <n v="2762"/>
  </r>
  <r>
    <x v="333"/>
    <x v="1"/>
    <s v="1-HZ1P71 "/>
    <x v="1"/>
    <x v="3"/>
    <x v="0"/>
    <x v="8"/>
    <n v="6884"/>
  </r>
  <r>
    <x v="208"/>
    <x v="1"/>
    <s v="1-GWYZKB "/>
    <x v="3"/>
    <x v="4"/>
    <x v="2"/>
    <x v="0"/>
    <n v="7252"/>
  </r>
  <r>
    <x v="334"/>
    <x v="0"/>
    <s v="1-HKMCWE "/>
    <x v="4"/>
    <x v="0"/>
    <x v="1"/>
    <x v="7"/>
    <n v="6672"/>
  </r>
  <r>
    <x v="335"/>
    <x v="0"/>
    <s v="1-FSGUFB "/>
    <x v="10"/>
    <x v="12"/>
    <x v="1"/>
    <x v="6"/>
    <n v="1829"/>
  </r>
  <r>
    <x v="82"/>
    <x v="0"/>
    <s v="1-EOH21Z "/>
    <x v="1"/>
    <x v="5"/>
    <x v="2"/>
    <x v="9"/>
    <n v="4084"/>
  </r>
  <r>
    <x v="22"/>
    <x v="0"/>
    <s v="1-HH27IF "/>
    <x v="0"/>
    <x v="4"/>
    <x v="3"/>
    <x v="2"/>
    <n v="1577"/>
  </r>
  <r>
    <x v="336"/>
    <x v="1"/>
    <s v="1-I5PTUT "/>
    <x v="0"/>
    <x v="9"/>
    <x v="3"/>
    <x v="7"/>
    <n v="3476"/>
  </r>
  <r>
    <x v="337"/>
    <x v="1"/>
    <s v="1-F6UDRL "/>
    <x v="0"/>
    <x v="2"/>
    <x v="0"/>
    <x v="7"/>
    <n v="3603"/>
  </r>
  <r>
    <x v="94"/>
    <x v="1"/>
    <s v="1-F9WQZ9 "/>
    <x v="0"/>
    <x v="12"/>
    <x v="1"/>
    <x v="7"/>
    <n v="4092"/>
  </r>
  <r>
    <x v="286"/>
    <x v="0"/>
    <s v="1-HV4BIZ "/>
    <x v="0"/>
    <x v="11"/>
    <x v="2"/>
    <x v="7"/>
    <n v="7677"/>
  </r>
  <r>
    <x v="338"/>
    <x v="1"/>
    <s v="1-F1D1Y7 "/>
    <x v="1"/>
    <x v="7"/>
    <x v="1"/>
    <x v="8"/>
    <n v="5305"/>
  </r>
  <r>
    <x v="104"/>
    <x v="1"/>
    <s v="1-I4IC8X "/>
    <x v="15"/>
    <x v="3"/>
    <x v="3"/>
    <x v="3"/>
    <n v="4308"/>
  </r>
  <r>
    <x v="339"/>
    <x v="0"/>
    <s v="1-F9XHE3 "/>
    <x v="14"/>
    <x v="12"/>
    <x v="3"/>
    <x v="8"/>
    <n v="6694"/>
  </r>
  <r>
    <x v="340"/>
    <x v="1"/>
    <s v="1-HVL5J3 "/>
    <x v="24"/>
    <x v="8"/>
    <x v="1"/>
    <x v="1"/>
    <n v="1947"/>
  </r>
  <r>
    <x v="341"/>
    <x v="0"/>
    <s v="1-DQTLT3 "/>
    <x v="1"/>
    <x v="0"/>
    <x v="1"/>
    <x v="4"/>
    <n v="6488"/>
  </r>
  <r>
    <x v="64"/>
    <x v="1"/>
    <s v="1-I2HEGX "/>
    <x v="6"/>
    <x v="9"/>
    <x v="0"/>
    <x v="8"/>
    <n v="6517"/>
  </r>
  <r>
    <x v="342"/>
    <x v="0"/>
    <s v="1-H66HBZ "/>
    <x v="17"/>
    <x v="10"/>
    <x v="2"/>
    <x v="5"/>
    <n v="4093"/>
  </r>
  <r>
    <x v="331"/>
    <x v="0"/>
    <s v="1-GV0BEJ "/>
    <x v="1"/>
    <x v="13"/>
    <x v="3"/>
    <x v="8"/>
    <n v="6255"/>
  </r>
  <r>
    <x v="343"/>
    <x v="1"/>
    <s v="1-F3245G "/>
    <x v="17"/>
    <x v="0"/>
    <x v="3"/>
    <x v="1"/>
    <n v="8480"/>
  </r>
  <r>
    <x v="344"/>
    <x v="1"/>
    <s v="1-HRXON8 "/>
    <x v="4"/>
    <x v="8"/>
    <x v="2"/>
    <x v="1"/>
    <n v="1141"/>
  </r>
  <r>
    <x v="345"/>
    <x v="0"/>
    <s v="1-GWO0F5 "/>
    <x v="4"/>
    <x v="11"/>
    <x v="0"/>
    <x v="5"/>
    <n v="8585"/>
  </r>
  <r>
    <x v="346"/>
    <x v="1"/>
    <s v="1-HRXOMY "/>
    <x v="4"/>
    <x v="12"/>
    <x v="2"/>
    <x v="5"/>
    <n v="8560"/>
  </r>
  <r>
    <x v="347"/>
    <x v="0"/>
    <s v="1-I5PYLD "/>
    <x v="1"/>
    <x v="0"/>
    <x v="1"/>
    <x v="4"/>
    <n v="6439"/>
  </r>
  <r>
    <x v="348"/>
    <x v="1"/>
    <s v="1-IAEVL7 "/>
    <x v="5"/>
    <x v="13"/>
    <x v="3"/>
    <x v="5"/>
    <n v="2826"/>
  </r>
  <r>
    <x v="349"/>
    <x v="1"/>
    <s v="1-I2A7N1 "/>
    <x v="5"/>
    <x v="8"/>
    <x v="3"/>
    <x v="7"/>
    <n v="3213"/>
  </r>
  <r>
    <x v="312"/>
    <x v="1"/>
    <s v="1-I9FFHR "/>
    <x v="2"/>
    <x v="11"/>
    <x v="1"/>
    <x v="8"/>
    <n v="2543"/>
  </r>
  <r>
    <x v="234"/>
    <x v="1"/>
    <s v="1-HUCBGP "/>
    <x v="2"/>
    <x v="5"/>
    <x v="3"/>
    <x v="6"/>
    <n v="3471"/>
  </r>
  <r>
    <x v="349"/>
    <x v="1"/>
    <s v="1-GWO0EG "/>
    <x v="4"/>
    <x v="12"/>
    <x v="1"/>
    <x v="2"/>
    <n v="1215"/>
  </r>
  <r>
    <x v="350"/>
    <x v="1"/>
    <s v="1-I5HW7W "/>
    <x v="9"/>
    <x v="8"/>
    <x v="0"/>
    <x v="9"/>
    <n v="7890"/>
  </r>
  <r>
    <x v="22"/>
    <x v="0"/>
    <s v="1-I2HEFG "/>
    <x v="1"/>
    <x v="7"/>
    <x v="2"/>
    <x v="4"/>
    <n v="6323"/>
  </r>
  <r>
    <x v="351"/>
    <x v="1"/>
    <s v="1-GWO0ER "/>
    <x v="8"/>
    <x v="9"/>
    <x v="0"/>
    <x v="2"/>
    <n v="3018"/>
  </r>
  <r>
    <x v="272"/>
    <x v="1"/>
    <s v="1-G8VQI7 "/>
    <x v="0"/>
    <x v="9"/>
    <x v="0"/>
    <x v="4"/>
    <n v="7568"/>
  </r>
  <r>
    <x v="352"/>
    <x v="0"/>
    <s v="1-HSTX9Z "/>
    <x v="0"/>
    <x v="8"/>
    <x v="1"/>
    <x v="1"/>
    <n v="8727"/>
  </r>
  <r>
    <x v="353"/>
    <x v="0"/>
    <s v="1-GCADD5 "/>
    <x v="21"/>
    <x v="5"/>
    <x v="0"/>
    <x v="4"/>
    <n v="8105"/>
  </r>
  <r>
    <x v="354"/>
    <x v="1"/>
    <s v="1-HZ4Z2X "/>
    <x v="4"/>
    <x v="3"/>
    <x v="1"/>
    <x v="9"/>
    <n v="4456"/>
  </r>
  <r>
    <x v="355"/>
    <x v="1"/>
    <s v="1-GCADBK "/>
    <x v="1"/>
    <x v="8"/>
    <x v="3"/>
    <x v="0"/>
    <n v="8563"/>
  </r>
  <r>
    <x v="273"/>
    <x v="0"/>
    <s v="1-GBUVC0 "/>
    <x v="1"/>
    <x v="0"/>
    <x v="1"/>
    <x v="0"/>
    <n v="7883"/>
  </r>
  <r>
    <x v="356"/>
    <x v="1"/>
    <s v="1-EPANYY "/>
    <x v="16"/>
    <x v="13"/>
    <x v="2"/>
    <x v="0"/>
    <n v="3308"/>
  </r>
  <r>
    <x v="159"/>
    <x v="1"/>
    <s v="1-EPIZU5 "/>
    <x v="14"/>
    <x v="1"/>
    <x v="0"/>
    <x v="2"/>
    <n v="2048"/>
  </r>
  <r>
    <x v="357"/>
    <x v="0"/>
    <s v="1-GCJF3U "/>
    <x v="1"/>
    <x v="3"/>
    <x v="3"/>
    <x v="1"/>
    <n v="3499"/>
  </r>
  <r>
    <x v="358"/>
    <x v="0"/>
    <s v="1-I4KOL2 "/>
    <x v="13"/>
    <x v="4"/>
    <x v="2"/>
    <x v="9"/>
    <n v="6050"/>
  </r>
  <r>
    <x v="227"/>
    <x v="1"/>
    <s v="1-GCADDI "/>
    <x v="18"/>
    <x v="2"/>
    <x v="1"/>
    <x v="8"/>
    <n v="3830"/>
  </r>
  <r>
    <x v="278"/>
    <x v="1"/>
    <s v="1-GDJCZY "/>
    <x v="1"/>
    <x v="13"/>
    <x v="1"/>
    <x v="3"/>
    <n v="2362"/>
  </r>
  <r>
    <x v="113"/>
    <x v="1"/>
    <s v="1-GCAD9A "/>
    <x v="1"/>
    <x v="13"/>
    <x v="3"/>
    <x v="3"/>
    <n v="2661"/>
  </r>
  <r>
    <x v="359"/>
    <x v="1"/>
    <s v="1-GZT7FT "/>
    <x v="0"/>
    <x v="8"/>
    <x v="0"/>
    <x v="8"/>
    <n v="8209"/>
  </r>
  <r>
    <x v="70"/>
    <x v="1"/>
    <s v="1-I4KPJR "/>
    <x v="22"/>
    <x v="3"/>
    <x v="2"/>
    <x v="1"/>
    <n v="1788"/>
  </r>
  <r>
    <x v="360"/>
    <x v="1"/>
    <s v="1-GCJF4N "/>
    <x v="21"/>
    <x v="0"/>
    <x v="1"/>
    <x v="0"/>
    <n v="6062"/>
  </r>
  <r>
    <x v="13"/>
    <x v="1"/>
    <s v="1-BAFPIH "/>
    <x v="1"/>
    <x v="8"/>
    <x v="0"/>
    <x v="3"/>
    <n v="7751"/>
  </r>
  <r>
    <x v="17"/>
    <x v="1"/>
    <s v="1-GDAIAT "/>
    <x v="11"/>
    <x v="11"/>
    <x v="1"/>
    <x v="6"/>
    <n v="6406"/>
  </r>
  <r>
    <x v="361"/>
    <x v="0"/>
    <s v="2N+8C-66B "/>
    <x v="24"/>
    <x v="13"/>
    <x v="1"/>
    <x v="1"/>
    <n v="1560"/>
  </r>
  <r>
    <x v="193"/>
    <x v="0"/>
    <s v="1-GBUV8T "/>
    <x v="1"/>
    <x v="10"/>
    <x v="0"/>
    <x v="7"/>
    <n v="7112"/>
  </r>
  <r>
    <x v="362"/>
    <x v="1"/>
    <s v="1-GBSUD7 "/>
    <x v="14"/>
    <x v="5"/>
    <x v="2"/>
    <x v="7"/>
    <n v="4232"/>
  </r>
  <r>
    <x v="363"/>
    <x v="0"/>
    <s v="1-GCADAS "/>
    <x v="1"/>
    <x v="11"/>
    <x v="1"/>
    <x v="1"/>
    <n v="4418"/>
  </r>
  <r>
    <x v="333"/>
    <x v="1"/>
    <s v="1-GDJD3J "/>
    <x v="8"/>
    <x v="1"/>
    <x v="3"/>
    <x v="9"/>
    <n v="3619"/>
  </r>
  <r>
    <x v="121"/>
    <x v="1"/>
    <s v="1-HWYHXD "/>
    <x v="18"/>
    <x v="6"/>
    <x v="0"/>
    <x v="8"/>
    <n v="8871"/>
  </r>
  <r>
    <x v="364"/>
    <x v="0"/>
    <s v="1-GCJEVH "/>
    <x v="9"/>
    <x v="10"/>
    <x v="3"/>
    <x v="2"/>
    <n v="1429"/>
  </r>
  <r>
    <x v="365"/>
    <x v="0"/>
    <s v="1-GCJF48 "/>
    <x v="25"/>
    <x v="2"/>
    <x v="2"/>
    <x v="5"/>
    <n v="2362"/>
  </r>
  <r>
    <x v="366"/>
    <x v="0"/>
    <s v="1-GCADEA "/>
    <x v="19"/>
    <x v="8"/>
    <x v="1"/>
    <x v="0"/>
    <n v="4044"/>
  </r>
  <r>
    <x v="34"/>
    <x v="0"/>
    <s v="1-HZ86TB "/>
    <x v="1"/>
    <x v="8"/>
    <x v="3"/>
    <x v="2"/>
    <n v="3118"/>
  </r>
  <r>
    <x v="69"/>
    <x v="0"/>
    <s v="1-FNL52O "/>
    <x v="0"/>
    <x v="4"/>
    <x v="1"/>
    <x v="2"/>
    <n v="1148"/>
  </r>
  <r>
    <x v="321"/>
    <x v="1"/>
    <s v="1-GCJEZK "/>
    <x v="1"/>
    <x v="4"/>
    <x v="0"/>
    <x v="5"/>
    <n v="8457"/>
  </r>
  <r>
    <x v="367"/>
    <x v="0"/>
    <s v="1-GBSUCX "/>
    <x v="18"/>
    <x v="6"/>
    <x v="2"/>
    <x v="7"/>
    <n v="6036"/>
  </r>
  <r>
    <x v="14"/>
    <x v="1"/>
    <s v="1-HZ50OZ "/>
    <x v="6"/>
    <x v="7"/>
    <x v="3"/>
    <x v="3"/>
    <n v="6206"/>
  </r>
  <r>
    <x v="368"/>
    <x v="1"/>
    <s v="1-FIZ4EW "/>
    <x v="0"/>
    <x v="10"/>
    <x v="1"/>
    <x v="5"/>
    <n v="2562"/>
  </r>
  <r>
    <x v="369"/>
    <x v="0"/>
    <s v="1-GCADEN "/>
    <x v="1"/>
    <x v="5"/>
    <x v="0"/>
    <x v="0"/>
    <n v="7756"/>
  </r>
  <r>
    <x v="241"/>
    <x v="1"/>
    <s v="1-GCAD9W "/>
    <x v="11"/>
    <x v="5"/>
    <x v="2"/>
    <x v="2"/>
    <n v="4430"/>
  </r>
  <r>
    <x v="275"/>
    <x v="1"/>
    <s v="1-I6C8W5 "/>
    <x v="1"/>
    <x v="8"/>
    <x v="1"/>
    <x v="6"/>
    <n v="2001"/>
  </r>
  <r>
    <x v="370"/>
    <x v="1"/>
    <s v="1-GDGHQ3 "/>
    <x v="0"/>
    <x v="13"/>
    <x v="0"/>
    <x v="3"/>
    <n v="2101"/>
  </r>
  <r>
    <x v="126"/>
    <x v="0"/>
    <s v="1-GDJCYD "/>
    <x v="1"/>
    <x v="0"/>
    <x v="2"/>
    <x v="8"/>
    <n v="4963"/>
  </r>
  <r>
    <x v="203"/>
    <x v="0"/>
    <s v="1-GCFKHD "/>
    <x v="17"/>
    <x v="8"/>
    <x v="0"/>
    <x v="8"/>
    <n v="4684"/>
  </r>
  <r>
    <x v="250"/>
    <x v="0"/>
    <s v="1-GCFKFD "/>
    <x v="22"/>
    <x v="5"/>
    <x v="0"/>
    <x v="8"/>
    <n v="6246"/>
  </r>
  <r>
    <x v="283"/>
    <x v="0"/>
    <s v="1-GXUB33 "/>
    <x v="17"/>
    <x v="11"/>
    <x v="2"/>
    <x v="1"/>
    <n v="3283"/>
  </r>
  <r>
    <x v="184"/>
    <x v="0"/>
    <s v="1-I4KOKN "/>
    <x v="1"/>
    <x v="12"/>
    <x v="1"/>
    <x v="0"/>
    <n v="7025"/>
  </r>
  <r>
    <x v="371"/>
    <x v="0"/>
    <s v="1-GCADCQ "/>
    <x v="25"/>
    <x v="3"/>
    <x v="3"/>
    <x v="6"/>
    <n v="1377"/>
  </r>
  <r>
    <x v="22"/>
    <x v="0"/>
    <s v="1-HZ7FHF "/>
    <x v="5"/>
    <x v="9"/>
    <x v="1"/>
    <x v="1"/>
    <n v="2951"/>
  </r>
  <r>
    <x v="267"/>
    <x v="0"/>
    <s v="1-GCAD9K "/>
    <x v="1"/>
    <x v="5"/>
    <x v="1"/>
    <x v="6"/>
    <n v="1382"/>
  </r>
  <r>
    <x v="338"/>
    <x v="1"/>
    <s v="1-HW1GYV "/>
    <x v="19"/>
    <x v="10"/>
    <x v="1"/>
    <x v="5"/>
    <n v="4183"/>
  </r>
  <r>
    <x v="331"/>
    <x v="0"/>
    <s v="1-GWPSHN "/>
    <x v="1"/>
    <x v="5"/>
    <x v="0"/>
    <x v="6"/>
    <n v="2134"/>
  </r>
  <r>
    <x v="142"/>
    <x v="1"/>
    <s v="1-I4DUXN "/>
    <x v="1"/>
    <x v="13"/>
    <x v="3"/>
    <x v="2"/>
    <n v="4692"/>
  </r>
  <r>
    <x v="1"/>
    <x v="0"/>
    <s v="1-I411MX "/>
    <x v="1"/>
    <x v="8"/>
    <x v="2"/>
    <x v="7"/>
    <n v="3728"/>
  </r>
  <r>
    <x v="372"/>
    <x v="0"/>
    <s v="1-GCJEZ7 "/>
    <x v="1"/>
    <x v="3"/>
    <x v="0"/>
    <x v="7"/>
    <n v="4920"/>
  </r>
  <r>
    <x v="373"/>
    <x v="1"/>
    <s v="1-GDAIC6 "/>
    <x v="1"/>
    <x v="10"/>
    <x v="0"/>
    <x v="8"/>
    <n v="6746"/>
  </r>
  <r>
    <x v="261"/>
    <x v="0"/>
    <s v="1-GCADDV "/>
    <x v="15"/>
    <x v="10"/>
    <x v="3"/>
    <x v="4"/>
    <n v="7695"/>
  </r>
  <r>
    <x v="45"/>
    <x v="0"/>
    <s v="1-GBSUDH "/>
    <x v="4"/>
    <x v="3"/>
    <x v="3"/>
    <x v="9"/>
    <n v="8860"/>
  </r>
  <r>
    <x v="104"/>
    <x v="1"/>
    <s v="1-GDAIEE "/>
    <x v="7"/>
    <x v="3"/>
    <x v="3"/>
    <x v="6"/>
    <n v="4059"/>
  </r>
  <r>
    <x v="70"/>
    <x v="1"/>
    <s v="1-FBN5PH "/>
    <x v="18"/>
    <x v="3"/>
    <x v="3"/>
    <x v="8"/>
    <n v="8323"/>
  </r>
  <r>
    <x v="374"/>
    <x v="1"/>
    <s v="1-I5GR6J "/>
    <x v="4"/>
    <x v="12"/>
    <x v="3"/>
    <x v="5"/>
    <n v="3472"/>
  </r>
  <r>
    <x v="60"/>
    <x v="0"/>
    <s v="1-GCADB8 "/>
    <x v="1"/>
    <x v="3"/>
    <x v="3"/>
    <x v="5"/>
    <n v="3344"/>
  </r>
  <r>
    <x v="375"/>
    <x v="1"/>
    <s v="1-GCAD8X "/>
    <x v="1"/>
    <x v="9"/>
    <x v="2"/>
    <x v="2"/>
    <n v="7788"/>
  </r>
  <r>
    <x v="376"/>
    <x v="1"/>
    <s v="1-GC0N9R "/>
    <x v="13"/>
    <x v="13"/>
    <x v="1"/>
    <x v="7"/>
    <n v="5147"/>
  </r>
  <r>
    <x v="377"/>
    <x v="0"/>
    <s v="1-GV8VEL "/>
    <x v="25"/>
    <x v="10"/>
    <x v="3"/>
    <x v="0"/>
    <n v="7511"/>
  </r>
  <r>
    <x v="53"/>
    <x v="1"/>
    <s v="1-GDE4MR "/>
    <x v="0"/>
    <x v="4"/>
    <x v="2"/>
    <x v="8"/>
    <n v="5316"/>
  </r>
  <r>
    <x v="378"/>
    <x v="1"/>
    <s v="1-GCJEUD "/>
    <x v="8"/>
    <x v="0"/>
    <x v="0"/>
    <x v="0"/>
    <n v="3051"/>
  </r>
  <r>
    <x v="345"/>
    <x v="0"/>
    <s v="1-GCJEVU "/>
    <x v="1"/>
    <x v="13"/>
    <x v="1"/>
    <x v="5"/>
    <n v="2278"/>
  </r>
  <r>
    <x v="128"/>
    <x v="1"/>
    <s v="1-GCJEV4 "/>
    <x v="4"/>
    <x v="0"/>
    <x v="3"/>
    <x v="7"/>
    <n v="5724"/>
  </r>
  <r>
    <x v="191"/>
    <x v="1"/>
    <s v="1-E08OFF "/>
    <x v="1"/>
    <x v="2"/>
    <x v="0"/>
    <x v="3"/>
    <n v="7356"/>
  </r>
  <r>
    <x v="229"/>
    <x v="1"/>
    <s v="1-GCFKG3 "/>
    <x v="1"/>
    <x v="1"/>
    <x v="1"/>
    <x v="7"/>
    <n v="8012"/>
  </r>
  <r>
    <x v="379"/>
    <x v="1"/>
    <s v="1-GDJD0U "/>
    <x v="1"/>
    <x v="9"/>
    <x v="3"/>
    <x v="8"/>
    <n v="2943"/>
  </r>
  <r>
    <x v="380"/>
    <x v="0"/>
    <s v="1-GCFKFQ "/>
    <x v="3"/>
    <x v="9"/>
    <x v="0"/>
    <x v="7"/>
    <n v="2624"/>
  </r>
  <r>
    <x v="381"/>
    <x v="0"/>
    <s v="1-GDJD38 "/>
    <x v="24"/>
    <x v="0"/>
    <x v="3"/>
    <x v="6"/>
    <n v="1339"/>
  </r>
  <r>
    <x v="296"/>
    <x v="0"/>
    <s v="2N+8C-1HI "/>
    <x v="7"/>
    <x v="7"/>
    <x v="1"/>
    <x v="3"/>
    <n v="2069"/>
  </r>
  <r>
    <x v="382"/>
    <x v="1"/>
    <s v="1-E07CRL "/>
    <x v="0"/>
    <x v="6"/>
    <x v="1"/>
    <x v="8"/>
    <n v="1717"/>
  </r>
  <r>
    <x v="318"/>
    <x v="0"/>
    <s v="1-G90T6B "/>
    <x v="22"/>
    <x v="9"/>
    <x v="0"/>
    <x v="5"/>
    <n v="8755"/>
  </r>
  <r>
    <x v="272"/>
    <x v="1"/>
    <s v="1-GNPIM7 "/>
    <x v="0"/>
    <x v="11"/>
    <x v="3"/>
    <x v="5"/>
    <n v="6792"/>
  </r>
  <r>
    <x v="229"/>
    <x v="1"/>
    <s v="1-FNOHIO "/>
    <x v="0"/>
    <x v="8"/>
    <x v="3"/>
    <x v="4"/>
    <n v="5563"/>
  </r>
  <r>
    <x v="97"/>
    <x v="0"/>
    <s v="1-GDAIAJ "/>
    <x v="1"/>
    <x v="5"/>
    <x v="3"/>
    <x v="4"/>
    <n v="5625"/>
  </r>
  <r>
    <x v="383"/>
    <x v="0"/>
    <s v="1-I43IET "/>
    <x v="0"/>
    <x v="6"/>
    <x v="1"/>
    <x v="1"/>
    <n v="6477"/>
  </r>
  <r>
    <x v="384"/>
    <x v="0"/>
    <s v="1-F4VYVB "/>
    <x v="25"/>
    <x v="6"/>
    <x v="2"/>
    <x v="8"/>
    <n v="4831"/>
  </r>
  <r>
    <x v="27"/>
    <x v="0"/>
    <s v="1-GJYYT1 "/>
    <x v="25"/>
    <x v="13"/>
    <x v="2"/>
    <x v="9"/>
    <n v="7705"/>
  </r>
  <r>
    <x v="125"/>
    <x v="1"/>
    <s v="1-HY2M8D "/>
    <x v="13"/>
    <x v="11"/>
    <x v="2"/>
    <x v="7"/>
    <n v="1166"/>
  </r>
  <r>
    <x v="385"/>
    <x v="1"/>
    <s v="1-GJAUA6 "/>
    <x v="20"/>
    <x v="10"/>
    <x v="2"/>
    <x v="6"/>
    <n v="7071"/>
  </r>
  <r>
    <x v="386"/>
    <x v="1"/>
    <s v="1-FS2EOD "/>
    <x v="10"/>
    <x v="11"/>
    <x v="2"/>
    <x v="2"/>
    <n v="3907"/>
  </r>
  <r>
    <x v="387"/>
    <x v="0"/>
    <s v="1-ERBD79 "/>
    <x v="1"/>
    <x v="0"/>
    <x v="0"/>
    <x v="7"/>
    <n v="8093"/>
  </r>
  <r>
    <x v="66"/>
    <x v="0"/>
    <s v="1-G6QDGL "/>
    <x v="1"/>
    <x v="1"/>
    <x v="0"/>
    <x v="0"/>
    <n v="5085"/>
  </r>
  <r>
    <x v="366"/>
    <x v="0"/>
    <s v="1-HY3HRN "/>
    <x v="1"/>
    <x v="5"/>
    <x v="2"/>
    <x v="6"/>
    <n v="1035"/>
  </r>
  <r>
    <x v="77"/>
    <x v="0"/>
    <s v="1-HXFGMD "/>
    <x v="1"/>
    <x v="10"/>
    <x v="0"/>
    <x v="8"/>
    <n v="2927"/>
  </r>
  <r>
    <x v="388"/>
    <x v="1"/>
    <s v="1-HW19QV "/>
    <x v="7"/>
    <x v="3"/>
    <x v="2"/>
    <x v="8"/>
    <n v="7150"/>
  </r>
  <r>
    <x v="2"/>
    <x v="1"/>
    <s v="1-HXC6ML "/>
    <x v="15"/>
    <x v="1"/>
    <x v="3"/>
    <x v="0"/>
    <n v="5337"/>
  </r>
  <r>
    <x v="62"/>
    <x v="0"/>
    <s v="1-GK35E3 "/>
    <x v="21"/>
    <x v="1"/>
    <x v="2"/>
    <x v="7"/>
    <n v="1724"/>
  </r>
  <r>
    <x v="112"/>
    <x v="1"/>
    <s v="1-ERN5UH "/>
    <x v="1"/>
    <x v="7"/>
    <x v="1"/>
    <x v="5"/>
    <n v="5803"/>
  </r>
  <r>
    <x v="389"/>
    <x v="1"/>
    <s v="1-HX9KKR "/>
    <x v="1"/>
    <x v="4"/>
    <x v="1"/>
    <x v="8"/>
    <n v="5686"/>
  </r>
  <r>
    <x v="390"/>
    <x v="0"/>
    <s v="1-GAAT29 "/>
    <x v="16"/>
    <x v="5"/>
    <x v="1"/>
    <x v="3"/>
    <n v="8089"/>
  </r>
  <r>
    <x v="311"/>
    <x v="0"/>
    <s v="1-GJYYVG "/>
    <x v="19"/>
    <x v="8"/>
    <x v="3"/>
    <x v="9"/>
    <n v="6058"/>
  </r>
  <r>
    <x v="110"/>
    <x v="0"/>
    <s v="1-HXI7TR "/>
    <x v="1"/>
    <x v="7"/>
    <x v="1"/>
    <x v="0"/>
    <n v="4949"/>
  </r>
  <r>
    <x v="391"/>
    <x v="0"/>
    <s v="1-GWO0E5 "/>
    <x v="14"/>
    <x v="8"/>
    <x v="3"/>
    <x v="6"/>
    <n v="6109"/>
  </r>
  <r>
    <x v="40"/>
    <x v="1"/>
    <s v="1-G4W577 "/>
    <x v="8"/>
    <x v="9"/>
    <x v="0"/>
    <x v="5"/>
    <n v="3523"/>
  </r>
  <r>
    <x v="138"/>
    <x v="1"/>
    <s v="1-I2619R "/>
    <x v="6"/>
    <x v="3"/>
    <x v="0"/>
    <x v="8"/>
    <n v="4510"/>
  </r>
  <r>
    <x v="260"/>
    <x v="1"/>
    <s v="1-I5J24R "/>
    <x v="1"/>
    <x v="9"/>
    <x v="2"/>
    <x v="8"/>
    <n v="4503"/>
  </r>
  <r>
    <x v="131"/>
    <x v="1"/>
    <s v="1-GJIHEJ "/>
    <x v="5"/>
    <x v="11"/>
    <x v="0"/>
    <x v="7"/>
    <n v="5231"/>
  </r>
  <r>
    <x v="379"/>
    <x v="1"/>
    <s v="1-GA0XYF "/>
    <x v="1"/>
    <x v="4"/>
    <x v="0"/>
    <x v="5"/>
    <n v="3932"/>
  </r>
  <r>
    <x v="19"/>
    <x v="1"/>
    <s v="1-HX5UAL "/>
    <x v="9"/>
    <x v="13"/>
    <x v="3"/>
    <x v="3"/>
    <n v="4284"/>
  </r>
  <r>
    <x v="331"/>
    <x v="0"/>
    <s v="1-F7NXR1 "/>
    <x v="20"/>
    <x v="7"/>
    <x v="1"/>
    <x v="1"/>
    <n v="8696"/>
  </r>
  <r>
    <x v="169"/>
    <x v="0"/>
    <s v="1-ERD38L "/>
    <x v="22"/>
    <x v="0"/>
    <x v="3"/>
    <x v="8"/>
    <n v="2023"/>
  </r>
  <r>
    <x v="255"/>
    <x v="0"/>
    <s v="1-GJBEFL "/>
    <x v="1"/>
    <x v="10"/>
    <x v="3"/>
    <x v="6"/>
    <n v="1319"/>
  </r>
  <r>
    <x v="207"/>
    <x v="1"/>
    <s v="1-ERD31N "/>
    <x v="6"/>
    <x v="6"/>
    <x v="0"/>
    <x v="8"/>
    <n v="8596"/>
  </r>
  <r>
    <x v="392"/>
    <x v="1"/>
    <s v="1-HYZO33 "/>
    <x v="17"/>
    <x v="7"/>
    <x v="1"/>
    <x v="6"/>
    <n v="3135"/>
  </r>
  <r>
    <x v="393"/>
    <x v="0"/>
    <s v="1-GEM5UT "/>
    <x v="15"/>
    <x v="8"/>
    <x v="0"/>
    <x v="6"/>
    <n v="3638"/>
  </r>
  <r>
    <x v="394"/>
    <x v="1"/>
    <s v="1-GJYYTN "/>
    <x v="18"/>
    <x v="10"/>
    <x v="3"/>
    <x v="8"/>
    <n v="5791"/>
  </r>
  <r>
    <x v="395"/>
    <x v="1"/>
    <s v="1-G3KDJ5 "/>
    <x v="1"/>
    <x v="3"/>
    <x v="2"/>
    <x v="9"/>
    <n v="7211"/>
  </r>
  <r>
    <x v="150"/>
    <x v="1"/>
    <s v="1-GJYH95 "/>
    <x v="1"/>
    <x v="0"/>
    <x v="0"/>
    <x v="6"/>
    <n v="8956"/>
  </r>
  <r>
    <x v="292"/>
    <x v="1"/>
    <s v="1-I4LHAV "/>
    <x v="19"/>
    <x v="4"/>
    <x v="1"/>
    <x v="9"/>
    <n v="8879"/>
  </r>
  <r>
    <x v="396"/>
    <x v="1"/>
    <s v="1-GWPSIB "/>
    <x v="5"/>
    <x v="0"/>
    <x v="1"/>
    <x v="9"/>
    <n v="8383"/>
  </r>
  <r>
    <x v="275"/>
    <x v="1"/>
    <s v="1-FRJGBY "/>
    <x v="11"/>
    <x v="2"/>
    <x v="0"/>
    <x v="7"/>
    <n v="5608"/>
  </r>
  <r>
    <x v="397"/>
    <x v="1"/>
    <s v="1-HSJWVJ "/>
    <x v="1"/>
    <x v="7"/>
    <x v="2"/>
    <x v="9"/>
    <n v="1018"/>
  </r>
  <r>
    <x v="398"/>
    <x v="0"/>
    <s v="1-ERN5MF "/>
    <x v="17"/>
    <x v="11"/>
    <x v="0"/>
    <x v="0"/>
    <n v="7734"/>
  </r>
  <r>
    <x v="232"/>
    <x v="0"/>
    <s v="1-ERD2V9 "/>
    <x v="1"/>
    <x v="11"/>
    <x v="2"/>
    <x v="7"/>
    <n v="3102"/>
  </r>
  <r>
    <x v="399"/>
    <x v="1"/>
    <s v="1-GUS90I "/>
    <x v="1"/>
    <x v="9"/>
    <x v="2"/>
    <x v="8"/>
    <n v="7037"/>
  </r>
  <r>
    <x v="370"/>
    <x v="1"/>
    <s v="1-ERD2KP "/>
    <x v="1"/>
    <x v="9"/>
    <x v="2"/>
    <x v="5"/>
    <n v="5056"/>
  </r>
  <r>
    <x v="322"/>
    <x v="1"/>
    <s v="1-HXIXEV "/>
    <x v="9"/>
    <x v="11"/>
    <x v="0"/>
    <x v="8"/>
    <n v="6704"/>
  </r>
  <r>
    <x v="331"/>
    <x v="0"/>
    <s v="1-EYN1V3 "/>
    <x v="1"/>
    <x v="11"/>
    <x v="0"/>
    <x v="4"/>
    <n v="8645"/>
  </r>
  <r>
    <x v="400"/>
    <x v="0"/>
    <s v="1-GA0XY6 "/>
    <x v="1"/>
    <x v="8"/>
    <x v="3"/>
    <x v="3"/>
    <n v="7562"/>
  </r>
  <r>
    <x v="401"/>
    <x v="1"/>
    <s v="1-GAAT21 "/>
    <x v="1"/>
    <x v="8"/>
    <x v="3"/>
    <x v="0"/>
    <n v="3955"/>
  </r>
  <r>
    <x v="131"/>
    <x v="1"/>
    <s v="1-GJIH71 "/>
    <x v="1"/>
    <x v="1"/>
    <x v="2"/>
    <x v="4"/>
    <n v="4253"/>
  </r>
  <r>
    <x v="402"/>
    <x v="1"/>
    <s v="1-G2RP0L "/>
    <x v="12"/>
    <x v="7"/>
    <x v="3"/>
    <x v="6"/>
    <n v="2405"/>
  </r>
  <r>
    <x v="70"/>
    <x v="1"/>
    <s v="1-HXIQMP "/>
    <x v="1"/>
    <x v="11"/>
    <x v="3"/>
    <x v="0"/>
    <n v="2981"/>
  </r>
  <r>
    <x v="38"/>
    <x v="0"/>
    <s v="1-HZ2K54 "/>
    <x v="1"/>
    <x v="9"/>
    <x v="2"/>
    <x v="7"/>
    <n v="5541"/>
  </r>
  <r>
    <x v="113"/>
    <x v="1"/>
    <s v="1-ERBD9H "/>
    <x v="1"/>
    <x v="6"/>
    <x v="1"/>
    <x v="3"/>
    <n v="8087"/>
  </r>
  <r>
    <x v="212"/>
    <x v="0"/>
    <s v="1-ERN6UL "/>
    <x v="1"/>
    <x v="12"/>
    <x v="3"/>
    <x v="1"/>
    <n v="4836"/>
  </r>
  <r>
    <x v="281"/>
    <x v="0"/>
    <s v="1-GJIGZR "/>
    <x v="22"/>
    <x v="1"/>
    <x v="0"/>
    <x v="3"/>
    <n v="3760"/>
  </r>
  <r>
    <x v="78"/>
    <x v="0"/>
    <s v="1-G4W56O "/>
    <x v="1"/>
    <x v="0"/>
    <x v="0"/>
    <x v="1"/>
    <n v="5214"/>
  </r>
  <r>
    <x v="82"/>
    <x v="0"/>
    <s v="1-GJYYU3 "/>
    <x v="1"/>
    <x v="4"/>
    <x v="3"/>
    <x v="2"/>
    <n v="2639"/>
  </r>
  <r>
    <x v="403"/>
    <x v="0"/>
    <s v="1-GJYYW1 "/>
    <x v="1"/>
    <x v="7"/>
    <x v="0"/>
    <x v="4"/>
    <n v="4868"/>
  </r>
  <r>
    <x v="404"/>
    <x v="1"/>
    <s v="1-G4W58U "/>
    <x v="18"/>
    <x v="10"/>
    <x v="3"/>
    <x v="3"/>
    <n v="2103"/>
  </r>
  <r>
    <x v="92"/>
    <x v="0"/>
    <s v="1-GJYXEC "/>
    <x v="11"/>
    <x v="5"/>
    <x v="3"/>
    <x v="0"/>
    <n v="5014"/>
  </r>
  <r>
    <x v="367"/>
    <x v="0"/>
    <s v="1-GUC701 "/>
    <x v="9"/>
    <x v="3"/>
    <x v="1"/>
    <x v="4"/>
    <n v="6393"/>
  </r>
  <r>
    <x v="157"/>
    <x v="0"/>
    <s v="1-EKIR4X "/>
    <x v="15"/>
    <x v="8"/>
    <x v="1"/>
    <x v="7"/>
    <n v="1522"/>
  </r>
  <r>
    <x v="105"/>
    <x v="0"/>
    <s v="1-GCJF1E "/>
    <x v="1"/>
    <x v="13"/>
    <x v="2"/>
    <x v="9"/>
    <n v="2574"/>
  </r>
  <r>
    <x v="229"/>
    <x v="1"/>
    <s v="1-I2VIB8 "/>
    <x v="25"/>
    <x v="12"/>
    <x v="3"/>
    <x v="5"/>
    <n v="2801"/>
  </r>
  <r>
    <x v="405"/>
    <x v="0"/>
    <s v="1-HWZYE9 "/>
    <x v="1"/>
    <x v="3"/>
    <x v="3"/>
    <x v="5"/>
    <n v="3244"/>
  </r>
  <r>
    <x v="406"/>
    <x v="1"/>
    <s v="1-IB32SJ "/>
    <x v="18"/>
    <x v="3"/>
    <x v="3"/>
    <x v="5"/>
    <n v="8687"/>
  </r>
  <r>
    <x v="407"/>
    <x v="1"/>
    <s v="1-I4QX4B "/>
    <x v="1"/>
    <x v="2"/>
    <x v="1"/>
    <x v="5"/>
    <n v="1204"/>
  </r>
  <r>
    <x v="408"/>
    <x v="0"/>
    <s v="1-F01KMN "/>
    <x v="1"/>
    <x v="10"/>
    <x v="3"/>
    <x v="8"/>
    <n v="3747"/>
  </r>
  <r>
    <x v="409"/>
    <x v="1"/>
    <s v="1-ERD2RD "/>
    <x v="1"/>
    <x v="12"/>
    <x v="1"/>
    <x v="8"/>
    <n v="1524"/>
  </r>
  <r>
    <x v="383"/>
    <x v="0"/>
    <s v="1-EOH23L "/>
    <x v="1"/>
    <x v="6"/>
    <x v="3"/>
    <x v="9"/>
    <n v="1994"/>
  </r>
  <r>
    <x v="410"/>
    <x v="1"/>
    <s v="2S-111UTT "/>
    <x v="3"/>
    <x v="13"/>
    <x v="1"/>
    <x v="6"/>
    <n v="6830"/>
  </r>
  <r>
    <x v="237"/>
    <x v="1"/>
    <s v="1-GDJ82N "/>
    <x v="2"/>
    <x v="1"/>
    <x v="0"/>
    <x v="4"/>
    <n v="3101"/>
  </r>
  <r>
    <x v="411"/>
    <x v="0"/>
    <s v="1-I9UBZX "/>
    <x v="21"/>
    <x v="13"/>
    <x v="0"/>
    <x v="0"/>
    <n v="1757"/>
  </r>
  <r>
    <x v="412"/>
    <x v="1"/>
    <s v="1-IB66B9 "/>
    <x v="1"/>
    <x v="3"/>
    <x v="2"/>
    <x v="0"/>
    <n v="5761"/>
  </r>
  <r>
    <x v="263"/>
    <x v="1"/>
    <s v="1-I4RF4N "/>
    <x v="1"/>
    <x v="0"/>
    <x v="3"/>
    <x v="5"/>
    <n v="3915"/>
  </r>
  <r>
    <x v="407"/>
    <x v="1"/>
    <s v="1-I9ODCP "/>
    <x v="1"/>
    <x v="0"/>
    <x v="0"/>
    <x v="3"/>
    <n v="5131"/>
  </r>
  <r>
    <x v="413"/>
    <x v="1"/>
    <s v="1-I4RFJ3 "/>
    <x v="1"/>
    <x v="8"/>
    <x v="3"/>
    <x v="2"/>
    <n v="8275"/>
  </r>
  <r>
    <x v="91"/>
    <x v="1"/>
    <s v="1-F32IZ2 "/>
    <x v="1"/>
    <x v="11"/>
    <x v="0"/>
    <x v="3"/>
    <n v="3098"/>
  </r>
  <r>
    <x v="414"/>
    <x v="0"/>
    <s v="1-EPIZUL "/>
    <x v="4"/>
    <x v="0"/>
    <x v="2"/>
    <x v="7"/>
    <n v="5024"/>
  </r>
  <r>
    <x v="415"/>
    <x v="1"/>
    <s v="1-I4Q9YF "/>
    <x v="16"/>
    <x v="5"/>
    <x v="0"/>
    <x v="7"/>
    <n v="5141"/>
  </r>
  <r>
    <x v="416"/>
    <x v="0"/>
    <s v="1-I46XCU "/>
    <x v="1"/>
    <x v="6"/>
    <x v="1"/>
    <x v="1"/>
    <n v="7352"/>
  </r>
  <r>
    <x v="301"/>
    <x v="0"/>
    <s v="1-F32IYS "/>
    <x v="1"/>
    <x v="10"/>
    <x v="0"/>
    <x v="3"/>
    <n v="2028"/>
  </r>
  <r>
    <x v="141"/>
    <x v="1"/>
    <s v="1-I23J2G "/>
    <x v="3"/>
    <x v="6"/>
    <x v="1"/>
    <x v="4"/>
    <n v="5295"/>
  </r>
  <r>
    <x v="417"/>
    <x v="1"/>
    <s v="1-ERITR1 "/>
    <x v="1"/>
    <x v="8"/>
    <x v="0"/>
    <x v="6"/>
    <n v="4894"/>
  </r>
  <r>
    <x v="377"/>
    <x v="0"/>
    <s v="1-BHKL3B "/>
    <x v="1"/>
    <x v="13"/>
    <x v="2"/>
    <x v="9"/>
    <n v="6451"/>
  </r>
  <r>
    <x v="418"/>
    <x v="1"/>
    <s v="1-I7NEE5 "/>
    <x v="1"/>
    <x v="1"/>
    <x v="1"/>
    <x v="9"/>
    <n v="1119"/>
  </r>
  <r>
    <x v="132"/>
    <x v="0"/>
    <s v="1-ERBD97 "/>
    <x v="7"/>
    <x v="6"/>
    <x v="3"/>
    <x v="9"/>
    <n v="5396"/>
  </r>
  <r>
    <x v="419"/>
    <x v="0"/>
    <s v="1-ERITUD "/>
    <x v="1"/>
    <x v="5"/>
    <x v="2"/>
    <x v="4"/>
    <n v="8606"/>
  </r>
  <r>
    <x v="420"/>
    <x v="1"/>
    <s v="1-I4R2WD "/>
    <x v="1"/>
    <x v="2"/>
    <x v="3"/>
    <x v="3"/>
    <n v="8159"/>
  </r>
  <r>
    <x v="221"/>
    <x v="1"/>
    <s v="1-I2VI9N "/>
    <x v="1"/>
    <x v="2"/>
    <x v="1"/>
    <x v="1"/>
    <n v="5425"/>
  </r>
  <r>
    <x v="421"/>
    <x v="1"/>
    <s v="1-ERBDGP "/>
    <x v="1"/>
    <x v="5"/>
    <x v="1"/>
    <x v="7"/>
    <n v="5914"/>
  </r>
  <r>
    <x v="184"/>
    <x v="0"/>
    <s v="1-I8RZIF "/>
    <x v="7"/>
    <x v="6"/>
    <x v="0"/>
    <x v="4"/>
    <n v="3793"/>
  </r>
  <r>
    <x v="422"/>
    <x v="0"/>
    <s v="1-FIHCGG "/>
    <x v="25"/>
    <x v="7"/>
    <x v="1"/>
    <x v="9"/>
    <n v="8632"/>
  </r>
  <r>
    <x v="362"/>
    <x v="1"/>
    <s v="1-G8WSC0 "/>
    <x v="1"/>
    <x v="11"/>
    <x v="2"/>
    <x v="4"/>
    <n v="6285"/>
  </r>
  <r>
    <x v="279"/>
    <x v="0"/>
    <s v="1-I261JF "/>
    <x v="1"/>
    <x v="9"/>
    <x v="1"/>
    <x v="9"/>
    <n v="5600"/>
  </r>
  <r>
    <x v="252"/>
    <x v="0"/>
    <s v="1-ERN5VB "/>
    <x v="1"/>
    <x v="12"/>
    <x v="2"/>
    <x v="1"/>
    <n v="3305"/>
  </r>
  <r>
    <x v="423"/>
    <x v="0"/>
    <s v="1-HEN77D "/>
    <x v="4"/>
    <x v="11"/>
    <x v="1"/>
    <x v="9"/>
    <n v="7298"/>
  </r>
  <r>
    <x v="402"/>
    <x v="1"/>
    <s v="1-GODM47 "/>
    <x v="1"/>
    <x v="4"/>
    <x v="3"/>
    <x v="8"/>
    <n v="5462"/>
  </r>
  <r>
    <x v="173"/>
    <x v="1"/>
    <s v="1-I5G9XK "/>
    <x v="1"/>
    <x v="5"/>
    <x v="1"/>
    <x v="9"/>
    <n v="6301"/>
  </r>
  <r>
    <x v="424"/>
    <x v="1"/>
    <s v="1-GRTWZN "/>
    <x v="2"/>
    <x v="1"/>
    <x v="2"/>
    <x v="0"/>
    <n v="8674"/>
  </r>
  <r>
    <x v="425"/>
    <x v="0"/>
    <s v="1-I5G9QH "/>
    <x v="7"/>
    <x v="1"/>
    <x v="2"/>
    <x v="2"/>
    <n v="3304"/>
  </r>
  <r>
    <x v="3"/>
    <x v="1"/>
    <s v="1-ERD2UZ "/>
    <x v="1"/>
    <x v="2"/>
    <x v="0"/>
    <x v="2"/>
    <n v="8227"/>
  </r>
  <r>
    <x v="73"/>
    <x v="1"/>
    <s v="1-I5G9LR "/>
    <x v="1"/>
    <x v="8"/>
    <x v="2"/>
    <x v="2"/>
    <n v="8334"/>
  </r>
  <r>
    <x v="426"/>
    <x v="0"/>
    <s v="1-I4RMQ9 "/>
    <x v="1"/>
    <x v="10"/>
    <x v="3"/>
    <x v="3"/>
    <n v="3073"/>
  </r>
  <r>
    <x v="232"/>
    <x v="0"/>
    <s v="1-I4QUFD "/>
    <x v="1"/>
    <x v="0"/>
    <x v="0"/>
    <x v="8"/>
    <n v="3903"/>
  </r>
  <r>
    <x v="427"/>
    <x v="0"/>
    <s v="1-I2VIAY "/>
    <x v="1"/>
    <x v="3"/>
    <x v="1"/>
    <x v="0"/>
    <n v="7365"/>
  </r>
  <r>
    <x v="346"/>
    <x v="1"/>
    <s v="1-ERN5HP "/>
    <x v="16"/>
    <x v="4"/>
    <x v="3"/>
    <x v="3"/>
    <n v="8784"/>
  </r>
  <r>
    <x v="428"/>
    <x v="0"/>
    <s v="1-I4PKHH "/>
    <x v="1"/>
    <x v="8"/>
    <x v="1"/>
    <x v="9"/>
    <n v="5258"/>
  </r>
  <r>
    <x v="23"/>
    <x v="0"/>
    <s v="1-IB6YRF "/>
    <x v="14"/>
    <x v="1"/>
    <x v="0"/>
    <x v="0"/>
    <n v="2862"/>
  </r>
  <r>
    <x v="321"/>
    <x v="1"/>
    <s v="1-GK4H76 "/>
    <x v="14"/>
    <x v="1"/>
    <x v="1"/>
    <x v="2"/>
    <n v="2212"/>
  </r>
  <r>
    <x v="429"/>
    <x v="1"/>
    <s v="1-GK4H4V "/>
    <x v="3"/>
    <x v="7"/>
    <x v="3"/>
    <x v="9"/>
    <n v="1815"/>
  </r>
  <r>
    <x v="191"/>
    <x v="1"/>
    <s v="1-IAFUDF "/>
    <x v="1"/>
    <x v="10"/>
    <x v="1"/>
    <x v="8"/>
    <n v="2574"/>
  </r>
  <r>
    <x v="202"/>
    <x v="0"/>
    <s v="1-ERBDJR "/>
    <x v="1"/>
    <x v="9"/>
    <x v="3"/>
    <x v="2"/>
    <n v="5266"/>
  </r>
  <r>
    <x v="156"/>
    <x v="1"/>
    <s v="1-I9W1QZ "/>
    <x v="19"/>
    <x v="9"/>
    <x v="3"/>
    <x v="7"/>
    <n v="6391"/>
  </r>
  <r>
    <x v="76"/>
    <x v="0"/>
    <s v="1-FHYH8Z "/>
    <x v="15"/>
    <x v="7"/>
    <x v="2"/>
    <x v="5"/>
    <n v="3672"/>
  </r>
  <r>
    <x v="430"/>
    <x v="1"/>
    <s v="1-F9WU6F "/>
    <x v="6"/>
    <x v="12"/>
    <x v="3"/>
    <x v="4"/>
    <n v="6353"/>
  </r>
  <r>
    <x v="204"/>
    <x v="0"/>
    <s v="1-I4RVTR "/>
    <x v="1"/>
    <x v="6"/>
    <x v="0"/>
    <x v="5"/>
    <n v="8856"/>
  </r>
  <r>
    <x v="318"/>
    <x v="0"/>
    <s v="1-I7ODVX "/>
    <x v="1"/>
    <x v="9"/>
    <x v="0"/>
    <x v="1"/>
    <n v="2822"/>
  </r>
  <r>
    <x v="274"/>
    <x v="0"/>
    <s v="1-I7R3S3 "/>
    <x v="1"/>
    <x v="0"/>
    <x v="0"/>
    <x v="7"/>
    <n v="7106"/>
  </r>
  <r>
    <x v="431"/>
    <x v="0"/>
    <s v="1-GZW2ZF "/>
    <x v="1"/>
    <x v="0"/>
    <x v="3"/>
    <x v="0"/>
    <n v="5614"/>
  </r>
  <r>
    <x v="290"/>
    <x v="0"/>
    <s v="1-I4PF4F "/>
    <x v="1"/>
    <x v="6"/>
    <x v="3"/>
    <x v="9"/>
    <n v="1927"/>
  </r>
  <r>
    <x v="363"/>
    <x v="0"/>
    <s v="1-I4QWWJ "/>
    <x v="1"/>
    <x v="7"/>
    <x v="2"/>
    <x v="7"/>
    <n v="7440"/>
  </r>
  <r>
    <x v="188"/>
    <x v="0"/>
    <s v="1-I266CI "/>
    <x v="20"/>
    <x v="0"/>
    <x v="3"/>
    <x v="6"/>
    <n v="8767"/>
  </r>
  <r>
    <x v="432"/>
    <x v="0"/>
    <s v="1-HLUMTB "/>
    <x v="1"/>
    <x v="11"/>
    <x v="1"/>
    <x v="7"/>
    <n v="4363"/>
  </r>
  <r>
    <x v="433"/>
    <x v="0"/>
    <s v="1-GRBXLR "/>
    <x v="22"/>
    <x v="2"/>
    <x v="0"/>
    <x v="9"/>
    <n v="3079"/>
  </r>
  <r>
    <x v="414"/>
    <x v="0"/>
    <s v="1-ERBD6F "/>
    <x v="1"/>
    <x v="1"/>
    <x v="1"/>
    <x v="2"/>
    <n v="2415"/>
  </r>
  <r>
    <x v="434"/>
    <x v="1"/>
    <s v="1-FSDZK5 "/>
    <x v="1"/>
    <x v="2"/>
    <x v="1"/>
    <x v="5"/>
    <n v="7033"/>
  </r>
  <r>
    <x v="112"/>
    <x v="1"/>
    <s v="1-F7O0WN "/>
    <x v="22"/>
    <x v="1"/>
    <x v="3"/>
    <x v="0"/>
    <n v="2181"/>
  </r>
  <r>
    <x v="435"/>
    <x v="1"/>
    <s v="1-ERN5VL "/>
    <x v="10"/>
    <x v="6"/>
    <x v="0"/>
    <x v="6"/>
    <n v="6623"/>
  </r>
  <r>
    <x v="143"/>
    <x v="1"/>
    <s v="1-I4QC0L "/>
    <x v="1"/>
    <x v="12"/>
    <x v="3"/>
    <x v="3"/>
    <n v="4384"/>
  </r>
  <r>
    <x v="232"/>
    <x v="0"/>
    <s v="1-GIJ0DP "/>
    <x v="5"/>
    <x v="13"/>
    <x v="1"/>
    <x v="7"/>
    <n v="4954"/>
  </r>
  <r>
    <x v="436"/>
    <x v="1"/>
    <s v="1-I22EPP "/>
    <x v="1"/>
    <x v="7"/>
    <x v="0"/>
    <x v="3"/>
    <n v="4003"/>
  </r>
  <r>
    <x v="212"/>
    <x v="0"/>
    <s v="1-ERBDH9 "/>
    <x v="5"/>
    <x v="0"/>
    <x v="3"/>
    <x v="6"/>
    <n v="5081"/>
  </r>
  <r>
    <x v="76"/>
    <x v="0"/>
    <s v="1-GTI3EX "/>
    <x v="6"/>
    <x v="2"/>
    <x v="0"/>
    <x v="4"/>
    <n v="6538"/>
  </r>
  <r>
    <x v="14"/>
    <x v="1"/>
    <s v="1-GA1JHX "/>
    <x v="7"/>
    <x v="13"/>
    <x v="1"/>
    <x v="9"/>
    <n v="5444"/>
  </r>
  <r>
    <x v="437"/>
    <x v="1"/>
    <s v="1-GYRZTZ "/>
    <x v="22"/>
    <x v="10"/>
    <x v="0"/>
    <x v="2"/>
    <n v="8377"/>
  </r>
  <r>
    <x v="104"/>
    <x v="1"/>
    <s v="1-FT89ZZ "/>
    <x v="19"/>
    <x v="6"/>
    <x v="1"/>
    <x v="1"/>
    <n v="1878"/>
  </r>
  <r>
    <x v="347"/>
    <x v="0"/>
    <s v="1-I4PKGD "/>
    <x v="17"/>
    <x v="5"/>
    <x v="2"/>
    <x v="6"/>
    <n v="5705"/>
  </r>
  <r>
    <x v="438"/>
    <x v="0"/>
    <s v="1-I9O2HV "/>
    <x v="1"/>
    <x v="1"/>
    <x v="3"/>
    <x v="2"/>
    <n v="7813"/>
  </r>
  <r>
    <x v="214"/>
    <x v="1"/>
    <s v="1-I5G9VC "/>
    <x v="11"/>
    <x v="5"/>
    <x v="2"/>
    <x v="6"/>
    <n v="4002"/>
  </r>
  <r>
    <x v="382"/>
    <x v="1"/>
    <s v="1-GV0QOT "/>
    <x v="16"/>
    <x v="9"/>
    <x v="2"/>
    <x v="8"/>
    <n v="7605"/>
  </r>
  <r>
    <x v="328"/>
    <x v="1"/>
    <s v="1-HSI4VX "/>
    <x v="1"/>
    <x v="2"/>
    <x v="0"/>
    <x v="3"/>
    <n v="7556"/>
  </r>
  <r>
    <x v="439"/>
    <x v="0"/>
    <s v="1-F01KMX "/>
    <x v="13"/>
    <x v="10"/>
    <x v="2"/>
    <x v="7"/>
    <n v="6169"/>
  </r>
  <r>
    <x v="47"/>
    <x v="1"/>
    <s v="1-I266C7 "/>
    <x v="3"/>
    <x v="1"/>
    <x v="2"/>
    <x v="5"/>
    <n v="6472"/>
  </r>
  <r>
    <x v="195"/>
    <x v="0"/>
    <s v="1-I4OSJN "/>
    <x v="5"/>
    <x v="2"/>
    <x v="0"/>
    <x v="3"/>
    <n v="2567"/>
  </r>
  <r>
    <x v="440"/>
    <x v="1"/>
    <s v="1-I5HLH3 "/>
    <x v="18"/>
    <x v="1"/>
    <x v="2"/>
    <x v="4"/>
    <n v="7014"/>
  </r>
  <r>
    <x v="400"/>
    <x v="0"/>
    <s v="1-I2VIAN "/>
    <x v="10"/>
    <x v="2"/>
    <x v="0"/>
    <x v="5"/>
    <n v="2931"/>
  </r>
  <r>
    <x v="12"/>
    <x v="0"/>
    <s v="1-I4QC0B "/>
    <x v="1"/>
    <x v="7"/>
    <x v="2"/>
    <x v="9"/>
    <n v="6426"/>
  </r>
  <r>
    <x v="441"/>
    <x v="1"/>
    <s v="1-EOH22L "/>
    <x v="1"/>
    <x v="6"/>
    <x v="2"/>
    <x v="4"/>
    <n v="5243"/>
  </r>
  <r>
    <x v="285"/>
    <x v="1"/>
    <s v="1-I5G9U8 "/>
    <x v="1"/>
    <x v="12"/>
    <x v="3"/>
    <x v="0"/>
    <n v="3563"/>
  </r>
  <r>
    <x v="442"/>
    <x v="0"/>
    <s v="1-HBRLBT "/>
    <x v="13"/>
    <x v="2"/>
    <x v="2"/>
    <x v="5"/>
    <n v="3103"/>
  </r>
  <r>
    <x v="224"/>
    <x v="0"/>
    <s v="1-ERITQR "/>
    <x v="1"/>
    <x v="12"/>
    <x v="2"/>
    <x v="2"/>
    <n v="1658"/>
  </r>
  <r>
    <x v="443"/>
    <x v="0"/>
    <s v="1-I4PKJP "/>
    <x v="1"/>
    <x v="1"/>
    <x v="0"/>
    <x v="3"/>
    <n v="8007"/>
  </r>
  <r>
    <x v="444"/>
    <x v="0"/>
    <s v="1-ERBDI3 "/>
    <x v="1"/>
    <x v="7"/>
    <x v="3"/>
    <x v="2"/>
    <n v="3464"/>
  </r>
  <r>
    <x v="445"/>
    <x v="0"/>
    <s v="1-I4Q9RR "/>
    <x v="21"/>
    <x v="4"/>
    <x v="1"/>
    <x v="5"/>
    <n v="3537"/>
  </r>
  <r>
    <x v="446"/>
    <x v="1"/>
    <s v="1-I4QUIZ "/>
    <x v="4"/>
    <x v="0"/>
    <x v="2"/>
    <x v="3"/>
    <n v="6914"/>
  </r>
  <r>
    <x v="244"/>
    <x v="0"/>
    <s v="1-I9S1HN "/>
    <x v="9"/>
    <x v="12"/>
    <x v="0"/>
    <x v="7"/>
    <n v="1798"/>
  </r>
  <r>
    <x v="447"/>
    <x v="1"/>
    <s v="1-I4QT0T "/>
    <x v="9"/>
    <x v="12"/>
    <x v="3"/>
    <x v="9"/>
    <n v="7057"/>
  </r>
  <r>
    <x v="448"/>
    <x v="0"/>
    <s v="1-F32IZC "/>
    <x v="1"/>
    <x v="10"/>
    <x v="2"/>
    <x v="3"/>
    <n v="6613"/>
  </r>
  <r>
    <x v="28"/>
    <x v="1"/>
    <s v="1-I23J27 "/>
    <x v="9"/>
    <x v="3"/>
    <x v="1"/>
    <x v="0"/>
    <n v="3522"/>
  </r>
  <r>
    <x v="124"/>
    <x v="0"/>
    <s v="1-I2824H "/>
    <x v="1"/>
    <x v="11"/>
    <x v="3"/>
    <x v="1"/>
    <n v="8574"/>
  </r>
  <r>
    <x v="449"/>
    <x v="0"/>
    <s v="1-G8LLWN "/>
    <x v="13"/>
    <x v="8"/>
    <x v="3"/>
    <x v="6"/>
    <n v="6868"/>
  </r>
  <r>
    <x v="450"/>
    <x v="1"/>
    <s v="1-ERITSP "/>
    <x v="24"/>
    <x v="6"/>
    <x v="1"/>
    <x v="0"/>
    <n v="8942"/>
  </r>
  <r>
    <x v="12"/>
    <x v="0"/>
    <s v="1-ERN5HF "/>
    <x v="1"/>
    <x v="10"/>
    <x v="2"/>
    <x v="3"/>
    <n v="3773"/>
  </r>
  <r>
    <x v="199"/>
    <x v="0"/>
    <s v="1-HWSTOV "/>
    <x v="1"/>
    <x v="12"/>
    <x v="0"/>
    <x v="6"/>
    <n v="4329"/>
  </r>
  <r>
    <x v="396"/>
    <x v="1"/>
    <s v="1-HPOLAZ "/>
    <x v="1"/>
    <x v="1"/>
    <x v="2"/>
    <x v="2"/>
    <n v="5830"/>
  </r>
  <r>
    <x v="451"/>
    <x v="0"/>
    <s v="1-F6RLEA "/>
    <x v="3"/>
    <x v="7"/>
    <x v="0"/>
    <x v="7"/>
    <n v="3781"/>
  </r>
  <r>
    <x v="193"/>
    <x v="0"/>
    <s v="1-ERITPD "/>
    <x v="19"/>
    <x v="2"/>
    <x v="2"/>
    <x v="5"/>
    <n v="7227"/>
  </r>
  <r>
    <x v="189"/>
    <x v="1"/>
    <s v="1-HP9RW1 "/>
    <x v="24"/>
    <x v="7"/>
    <x v="2"/>
    <x v="7"/>
    <n v="1663"/>
  </r>
  <r>
    <x v="301"/>
    <x v="0"/>
    <s v="1-H226EQ "/>
    <x v="15"/>
    <x v="5"/>
    <x v="1"/>
    <x v="0"/>
    <n v="6196"/>
  </r>
  <r>
    <x v="418"/>
    <x v="1"/>
    <s v="1-ERN5ON "/>
    <x v="1"/>
    <x v="3"/>
    <x v="3"/>
    <x v="1"/>
    <n v="3128"/>
  </r>
  <r>
    <x v="285"/>
    <x v="1"/>
    <s v="1-I27TF5 "/>
    <x v="21"/>
    <x v="6"/>
    <x v="1"/>
    <x v="4"/>
    <n v="7954"/>
  </r>
  <r>
    <x v="321"/>
    <x v="1"/>
    <s v="1-HMZ0G1 "/>
    <x v="1"/>
    <x v="4"/>
    <x v="3"/>
    <x v="2"/>
    <n v="7383"/>
  </r>
  <r>
    <x v="452"/>
    <x v="1"/>
    <s v="1-99W9P9 "/>
    <x v="9"/>
    <x v="9"/>
    <x v="2"/>
    <x v="8"/>
    <n v="4143"/>
  </r>
  <r>
    <x v="297"/>
    <x v="0"/>
    <s v="1-FZO75S "/>
    <x v="1"/>
    <x v="4"/>
    <x v="0"/>
    <x v="5"/>
    <n v="1749"/>
  </r>
  <r>
    <x v="76"/>
    <x v="0"/>
    <s v="1-I2DT6X "/>
    <x v="6"/>
    <x v="6"/>
    <x v="2"/>
    <x v="3"/>
    <n v="6776"/>
  </r>
  <r>
    <x v="453"/>
    <x v="1"/>
    <s v="1-I27BTJ "/>
    <x v="11"/>
    <x v="7"/>
    <x v="1"/>
    <x v="8"/>
    <n v="7218"/>
  </r>
  <r>
    <x v="228"/>
    <x v="0"/>
    <s v="1-I35KBX "/>
    <x v="21"/>
    <x v="9"/>
    <x v="1"/>
    <x v="0"/>
    <n v="1574"/>
  </r>
  <r>
    <x v="176"/>
    <x v="0"/>
    <s v="1-HPOL6I "/>
    <x v="14"/>
    <x v="2"/>
    <x v="2"/>
    <x v="3"/>
    <n v="5826"/>
  </r>
  <r>
    <x v="388"/>
    <x v="1"/>
    <s v="2S-ZU001 "/>
    <x v="1"/>
    <x v="7"/>
    <x v="2"/>
    <x v="6"/>
    <n v="6870"/>
  </r>
  <r>
    <x v="126"/>
    <x v="0"/>
    <s v="1-FFQZW3 "/>
    <x v="1"/>
    <x v="5"/>
    <x v="2"/>
    <x v="7"/>
    <n v="1291"/>
  </r>
  <r>
    <x v="454"/>
    <x v="0"/>
    <s v="1-F329VT "/>
    <x v="2"/>
    <x v="2"/>
    <x v="1"/>
    <x v="8"/>
    <n v="3423"/>
  </r>
  <r>
    <x v="341"/>
    <x v="0"/>
    <s v="1-F32ATO "/>
    <x v="4"/>
    <x v="9"/>
    <x v="2"/>
    <x v="0"/>
    <n v="7536"/>
  </r>
  <r>
    <x v="455"/>
    <x v="0"/>
    <s v="1-I2854J "/>
    <x v="15"/>
    <x v="1"/>
    <x v="1"/>
    <x v="4"/>
    <n v="2074"/>
  </r>
  <r>
    <x v="456"/>
    <x v="1"/>
    <s v="1-I283LT "/>
    <x v="1"/>
    <x v="10"/>
    <x v="3"/>
    <x v="1"/>
    <n v="6101"/>
  </r>
  <r>
    <x v="129"/>
    <x v="0"/>
    <s v="1-GY1O4D "/>
    <x v="1"/>
    <x v="1"/>
    <x v="0"/>
    <x v="3"/>
    <n v="1969"/>
  </r>
  <r>
    <x v="204"/>
    <x v="0"/>
    <s v="1-G8LLZ5 "/>
    <x v="1"/>
    <x v="4"/>
    <x v="0"/>
    <x v="3"/>
    <n v="3885"/>
  </r>
  <r>
    <x v="140"/>
    <x v="0"/>
    <s v="1-G99FVC "/>
    <x v="1"/>
    <x v="5"/>
    <x v="1"/>
    <x v="4"/>
    <n v="5827"/>
  </r>
  <r>
    <x v="457"/>
    <x v="1"/>
    <s v="1-ERITTJ "/>
    <x v="19"/>
    <x v="13"/>
    <x v="3"/>
    <x v="9"/>
    <n v="5908"/>
  </r>
  <r>
    <x v="18"/>
    <x v="1"/>
    <s v="1-H19HI9 "/>
    <x v="4"/>
    <x v="0"/>
    <x v="3"/>
    <x v="6"/>
    <n v="2852"/>
  </r>
  <r>
    <x v="458"/>
    <x v="0"/>
    <s v="1-G8FXGO "/>
    <x v="1"/>
    <x v="5"/>
    <x v="3"/>
    <x v="2"/>
    <n v="7984"/>
  </r>
  <r>
    <x v="41"/>
    <x v="0"/>
    <s v="1-H3LDCC "/>
    <x v="16"/>
    <x v="8"/>
    <x v="2"/>
    <x v="0"/>
    <n v="2494"/>
  </r>
  <r>
    <x v="434"/>
    <x v="1"/>
    <s v="1-I23J2P "/>
    <x v="1"/>
    <x v="13"/>
    <x v="3"/>
    <x v="1"/>
    <n v="7563"/>
  </r>
  <r>
    <x v="459"/>
    <x v="0"/>
    <s v="1-GJE35E "/>
    <x v="10"/>
    <x v="8"/>
    <x v="3"/>
    <x v="1"/>
    <n v="8414"/>
  </r>
  <r>
    <x v="460"/>
    <x v="0"/>
    <s v="1-HWHKO1 "/>
    <x v="1"/>
    <x v="5"/>
    <x v="2"/>
    <x v="0"/>
    <n v="1526"/>
  </r>
  <r>
    <x v="432"/>
    <x v="0"/>
    <s v="2S+3U-32 "/>
    <x v="25"/>
    <x v="1"/>
    <x v="2"/>
    <x v="9"/>
    <n v="7513"/>
  </r>
  <r>
    <x v="178"/>
    <x v="1"/>
    <s v="1-G8ARSL "/>
    <x v="1"/>
    <x v="13"/>
    <x v="1"/>
    <x v="8"/>
    <n v="1285"/>
  </r>
  <r>
    <x v="130"/>
    <x v="1"/>
    <s v="1-G0EVKF "/>
    <x v="0"/>
    <x v="3"/>
    <x v="2"/>
    <x v="3"/>
    <n v="7007"/>
  </r>
  <r>
    <x v="332"/>
    <x v="0"/>
    <s v="1-I0F17S "/>
    <x v="0"/>
    <x v="0"/>
    <x v="0"/>
    <x v="2"/>
    <n v="4950"/>
  </r>
  <r>
    <x v="58"/>
    <x v="0"/>
    <s v="1-GKFTJ5 "/>
    <x v="0"/>
    <x v="1"/>
    <x v="2"/>
    <x v="2"/>
    <n v="5396"/>
  </r>
  <r>
    <x v="206"/>
    <x v="1"/>
    <s v="1-HYZ5AX "/>
    <x v="0"/>
    <x v="6"/>
    <x v="2"/>
    <x v="6"/>
    <n v="4486"/>
  </r>
  <r>
    <x v="112"/>
    <x v="1"/>
    <s v="1-H06K27 "/>
    <x v="0"/>
    <x v="10"/>
    <x v="1"/>
    <x v="1"/>
    <n v="2491"/>
  </r>
  <r>
    <x v="183"/>
    <x v="0"/>
    <s v="1-EQ18JX "/>
    <x v="0"/>
    <x v="5"/>
    <x v="3"/>
    <x v="1"/>
    <n v="6846"/>
  </r>
  <r>
    <x v="218"/>
    <x v="1"/>
    <s v="1-G8EMYH "/>
    <x v="0"/>
    <x v="1"/>
    <x v="2"/>
    <x v="7"/>
    <n v="5590"/>
  </r>
  <r>
    <x v="350"/>
    <x v="1"/>
    <s v="1-GYCT9L "/>
    <x v="0"/>
    <x v="6"/>
    <x v="0"/>
    <x v="2"/>
    <n v="1943"/>
  </r>
  <r>
    <x v="448"/>
    <x v="0"/>
    <s v="1-FKE8MR "/>
    <x v="0"/>
    <x v="2"/>
    <x v="0"/>
    <x v="0"/>
    <n v="3164"/>
  </r>
  <r>
    <x v="13"/>
    <x v="1"/>
    <s v="1-FKE8QX "/>
    <x v="0"/>
    <x v="2"/>
    <x v="0"/>
    <x v="9"/>
    <n v="8855"/>
  </r>
  <r>
    <x v="461"/>
    <x v="1"/>
    <s v="1-FRPOK6 "/>
    <x v="9"/>
    <x v="6"/>
    <x v="0"/>
    <x v="4"/>
    <n v="1080"/>
  </r>
  <r>
    <x v="286"/>
    <x v="0"/>
    <s v="1-F6YD0X "/>
    <x v="0"/>
    <x v="13"/>
    <x v="2"/>
    <x v="5"/>
    <n v="3484"/>
  </r>
  <r>
    <x v="156"/>
    <x v="1"/>
    <s v="1-GEFRW7 "/>
    <x v="0"/>
    <x v="2"/>
    <x v="2"/>
    <x v="3"/>
    <n v="1589"/>
  </r>
  <r>
    <x v="462"/>
    <x v="0"/>
    <s v="1-GG490V "/>
    <x v="0"/>
    <x v="10"/>
    <x v="0"/>
    <x v="1"/>
    <n v="8462"/>
  </r>
  <r>
    <x v="124"/>
    <x v="0"/>
    <s v="1-FRKU6Q "/>
    <x v="0"/>
    <x v="0"/>
    <x v="0"/>
    <x v="1"/>
    <n v="4677"/>
  </r>
  <r>
    <x v="463"/>
    <x v="1"/>
    <s v="1-G6WJ7P "/>
    <x v="1"/>
    <x v="8"/>
    <x v="2"/>
    <x v="3"/>
    <n v="3416"/>
  </r>
  <r>
    <x v="414"/>
    <x v="0"/>
    <s v="1-I5CEPR "/>
    <x v="0"/>
    <x v="2"/>
    <x v="3"/>
    <x v="6"/>
    <n v="2433"/>
  </r>
  <r>
    <x v="47"/>
    <x v="1"/>
    <s v="1-ERBDDN "/>
    <x v="0"/>
    <x v="5"/>
    <x v="0"/>
    <x v="5"/>
    <n v="3620"/>
  </r>
  <r>
    <x v="461"/>
    <x v="1"/>
    <s v="1-ERBD7J "/>
    <x v="0"/>
    <x v="11"/>
    <x v="1"/>
    <x v="5"/>
    <n v="4113"/>
  </r>
  <r>
    <x v="80"/>
    <x v="0"/>
    <s v="1-ERBDFB "/>
    <x v="0"/>
    <x v="4"/>
    <x v="0"/>
    <x v="2"/>
    <n v="5805"/>
  </r>
  <r>
    <x v="464"/>
    <x v="1"/>
    <s v="1-ERD2JL "/>
    <x v="0"/>
    <x v="10"/>
    <x v="2"/>
    <x v="5"/>
    <n v="4315"/>
  </r>
  <r>
    <x v="465"/>
    <x v="1"/>
    <s v="1-GST5QC "/>
    <x v="0"/>
    <x v="12"/>
    <x v="2"/>
    <x v="3"/>
    <n v="4250"/>
  </r>
  <r>
    <x v="52"/>
    <x v="0"/>
    <s v="1-F1D1YQ "/>
    <x v="24"/>
    <x v="13"/>
    <x v="2"/>
    <x v="3"/>
    <n v="3295"/>
  </r>
  <r>
    <x v="466"/>
    <x v="1"/>
    <s v="1-FEDD04 "/>
    <x v="0"/>
    <x v="6"/>
    <x v="1"/>
    <x v="9"/>
    <n v="2361"/>
  </r>
  <r>
    <x v="56"/>
    <x v="0"/>
    <s v="1-GWMV3Y "/>
    <x v="1"/>
    <x v="0"/>
    <x v="2"/>
    <x v="7"/>
    <n v="7400"/>
  </r>
  <r>
    <x v="290"/>
    <x v="0"/>
    <s v="1-ERBDCJ "/>
    <x v="0"/>
    <x v="1"/>
    <x v="2"/>
    <x v="5"/>
    <n v="4151"/>
  </r>
  <r>
    <x v="467"/>
    <x v="1"/>
    <s v="1-GC278S "/>
    <x v="0"/>
    <x v="1"/>
    <x v="1"/>
    <x v="2"/>
    <n v="8916"/>
  </r>
  <r>
    <x v="411"/>
    <x v="0"/>
    <s v="1-ERD2N7 "/>
    <x v="0"/>
    <x v="0"/>
    <x v="1"/>
    <x v="7"/>
    <n v="2124"/>
  </r>
  <r>
    <x v="468"/>
    <x v="1"/>
    <s v="1-DQTLSW "/>
    <x v="1"/>
    <x v="7"/>
    <x v="0"/>
    <x v="8"/>
    <n v="2026"/>
  </r>
  <r>
    <x v="189"/>
    <x v="1"/>
    <s v="1-GCCGVC "/>
    <x v="0"/>
    <x v="8"/>
    <x v="3"/>
    <x v="1"/>
    <n v="2806"/>
  </r>
  <r>
    <x v="378"/>
    <x v="1"/>
    <s v="1-G9ZTVB "/>
    <x v="0"/>
    <x v="6"/>
    <x v="2"/>
    <x v="4"/>
    <n v="5297"/>
  </r>
  <r>
    <x v="388"/>
    <x v="1"/>
    <s v="1-ERITTT "/>
    <x v="0"/>
    <x v="8"/>
    <x v="0"/>
    <x v="7"/>
    <n v="3338"/>
  </r>
  <r>
    <x v="195"/>
    <x v="0"/>
    <s v="1-FTI6ND "/>
    <x v="0"/>
    <x v="13"/>
    <x v="3"/>
    <x v="8"/>
    <n v="7069"/>
  </r>
  <r>
    <x v="218"/>
    <x v="1"/>
    <s v="1-GST5OI "/>
    <x v="22"/>
    <x v="0"/>
    <x v="1"/>
    <x v="4"/>
    <n v="3786"/>
  </r>
  <r>
    <x v="230"/>
    <x v="0"/>
    <s v="1-I5SXTN "/>
    <x v="0"/>
    <x v="8"/>
    <x v="3"/>
    <x v="5"/>
    <n v="7052"/>
  </r>
  <r>
    <x v="416"/>
    <x v="0"/>
    <s v="1-FKTRMX "/>
    <x v="24"/>
    <x v="5"/>
    <x v="1"/>
    <x v="6"/>
    <n v="3006"/>
  </r>
  <r>
    <x v="58"/>
    <x v="0"/>
    <s v="1-GA369L "/>
    <x v="0"/>
    <x v="12"/>
    <x v="1"/>
    <x v="2"/>
    <n v="4241"/>
  </r>
  <r>
    <x v="448"/>
    <x v="0"/>
    <s v="1-I0F18S "/>
    <x v="0"/>
    <x v="12"/>
    <x v="1"/>
    <x v="3"/>
    <n v="2463"/>
  </r>
  <r>
    <x v="469"/>
    <x v="0"/>
    <s v="1-F6MRC9 "/>
    <x v="25"/>
    <x v="8"/>
    <x v="0"/>
    <x v="7"/>
    <n v="5342"/>
  </r>
  <r>
    <x v="197"/>
    <x v="0"/>
    <s v="1-FKE8MH "/>
    <x v="0"/>
    <x v="4"/>
    <x v="0"/>
    <x v="1"/>
    <n v="5531"/>
  </r>
  <r>
    <x v="470"/>
    <x v="1"/>
    <s v="1-ERD2YB "/>
    <x v="0"/>
    <x v="12"/>
    <x v="2"/>
    <x v="5"/>
    <n v="3680"/>
  </r>
  <r>
    <x v="181"/>
    <x v="1"/>
    <s v="1-I5QJZK "/>
    <x v="0"/>
    <x v="2"/>
    <x v="3"/>
    <x v="3"/>
    <n v="2531"/>
  </r>
  <r>
    <x v="471"/>
    <x v="1"/>
    <s v="1-ERITXP "/>
    <x v="1"/>
    <x v="1"/>
    <x v="1"/>
    <x v="7"/>
    <n v="4874"/>
  </r>
  <r>
    <x v="356"/>
    <x v="1"/>
    <s v="1-F16U9D "/>
    <x v="1"/>
    <x v="5"/>
    <x v="0"/>
    <x v="3"/>
    <n v="4488"/>
  </r>
  <r>
    <x v="148"/>
    <x v="1"/>
    <s v="1-HSG23F "/>
    <x v="5"/>
    <x v="5"/>
    <x v="0"/>
    <x v="2"/>
    <n v="6937"/>
  </r>
  <r>
    <x v="357"/>
    <x v="0"/>
    <s v="1-ERITY9 "/>
    <x v="13"/>
    <x v="5"/>
    <x v="0"/>
    <x v="2"/>
    <n v="3750"/>
  </r>
  <r>
    <x v="472"/>
    <x v="0"/>
    <s v="1-FKW3WJ "/>
    <x v="0"/>
    <x v="7"/>
    <x v="3"/>
    <x v="2"/>
    <n v="1272"/>
  </r>
  <r>
    <x v="473"/>
    <x v="1"/>
    <s v="1-GFW76Z "/>
    <x v="0"/>
    <x v="10"/>
    <x v="2"/>
    <x v="0"/>
    <n v="6420"/>
  </r>
  <r>
    <x v="409"/>
    <x v="1"/>
    <s v="1-GBTNLL "/>
    <x v="0"/>
    <x v="4"/>
    <x v="0"/>
    <x v="5"/>
    <n v="3191"/>
  </r>
  <r>
    <x v="30"/>
    <x v="1"/>
    <s v="1-GS5A4D "/>
    <x v="0"/>
    <x v="10"/>
    <x v="2"/>
    <x v="9"/>
    <n v="3439"/>
  </r>
  <r>
    <x v="474"/>
    <x v="0"/>
    <s v="1-FKE8QN "/>
    <x v="0"/>
    <x v="8"/>
    <x v="0"/>
    <x v="3"/>
    <n v="2310"/>
  </r>
  <r>
    <x v="475"/>
    <x v="0"/>
    <s v="1-FJ0X4Z "/>
    <x v="1"/>
    <x v="2"/>
    <x v="0"/>
    <x v="7"/>
    <n v="2880"/>
  </r>
  <r>
    <x v="154"/>
    <x v="0"/>
    <s v="1-F5BPZP "/>
    <x v="1"/>
    <x v="6"/>
    <x v="0"/>
    <x v="3"/>
    <n v="5698"/>
  </r>
  <r>
    <x v="476"/>
    <x v="0"/>
    <s v="1-ERD331 "/>
    <x v="1"/>
    <x v="13"/>
    <x v="3"/>
    <x v="4"/>
    <n v="3348"/>
  </r>
  <r>
    <x v="236"/>
    <x v="0"/>
    <s v="1-ERIU11 "/>
    <x v="20"/>
    <x v="13"/>
    <x v="3"/>
    <x v="6"/>
    <n v="7609"/>
  </r>
  <r>
    <x v="185"/>
    <x v="0"/>
    <s v="1-ERN6QF "/>
    <x v="8"/>
    <x v="4"/>
    <x v="3"/>
    <x v="0"/>
    <n v="8826"/>
  </r>
  <r>
    <x v="477"/>
    <x v="1"/>
    <s v="1-GK2D42 "/>
    <x v="1"/>
    <x v="10"/>
    <x v="3"/>
    <x v="0"/>
    <n v="2181"/>
  </r>
  <r>
    <x v="478"/>
    <x v="0"/>
    <s v="1-ERN5AR "/>
    <x v="0"/>
    <x v="8"/>
    <x v="3"/>
    <x v="1"/>
    <n v="5475"/>
  </r>
  <r>
    <x v="5"/>
    <x v="1"/>
    <s v="1-ERD2SH "/>
    <x v="7"/>
    <x v="5"/>
    <x v="2"/>
    <x v="4"/>
    <n v="4028"/>
  </r>
  <r>
    <x v="479"/>
    <x v="0"/>
    <s v="1-FKW40F "/>
    <x v="0"/>
    <x v="3"/>
    <x v="1"/>
    <x v="2"/>
    <n v="1793"/>
  </r>
  <r>
    <x v="480"/>
    <x v="1"/>
    <s v="1-I3LRZ7 "/>
    <x v="20"/>
    <x v="11"/>
    <x v="0"/>
    <x v="3"/>
    <n v="6434"/>
  </r>
  <r>
    <x v="146"/>
    <x v="1"/>
    <s v="1-HPQ4QN "/>
    <x v="0"/>
    <x v="1"/>
    <x v="2"/>
    <x v="9"/>
    <n v="8961"/>
  </r>
  <r>
    <x v="10"/>
    <x v="1"/>
    <s v="1-HWHDBL "/>
    <x v="0"/>
    <x v="5"/>
    <x v="1"/>
    <x v="6"/>
    <n v="5058"/>
  </r>
  <r>
    <x v="21"/>
    <x v="1"/>
    <s v="1-G5KGHJ "/>
    <x v="0"/>
    <x v="4"/>
    <x v="3"/>
    <x v="9"/>
    <n v="5698"/>
  </r>
  <r>
    <x v="356"/>
    <x v="1"/>
    <s v="1-FJDRL1 "/>
    <x v="0"/>
    <x v="5"/>
    <x v="2"/>
    <x v="5"/>
    <n v="8154"/>
  </r>
  <r>
    <x v="481"/>
    <x v="1"/>
    <s v="1-EVECJB "/>
    <x v="1"/>
    <x v="3"/>
    <x v="0"/>
    <x v="3"/>
    <n v="8496"/>
  </r>
  <r>
    <x v="482"/>
    <x v="0"/>
    <s v="1-FJLVRX "/>
    <x v="1"/>
    <x v="1"/>
    <x v="0"/>
    <x v="0"/>
    <n v="2392"/>
  </r>
  <r>
    <x v="151"/>
    <x v="0"/>
    <s v="1-FKE8R7 "/>
    <x v="0"/>
    <x v="10"/>
    <x v="3"/>
    <x v="1"/>
    <n v="4141"/>
  </r>
  <r>
    <x v="483"/>
    <x v="0"/>
    <s v="1-GRR443 "/>
    <x v="1"/>
    <x v="10"/>
    <x v="3"/>
    <x v="0"/>
    <n v="3574"/>
  </r>
  <r>
    <x v="84"/>
    <x v="1"/>
    <s v="1-3154JW "/>
    <x v="0"/>
    <x v="2"/>
    <x v="1"/>
    <x v="2"/>
    <n v="5653"/>
  </r>
  <r>
    <x v="455"/>
    <x v="0"/>
    <s v="1-HZ4PMN "/>
    <x v="2"/>
    <x v="10"/>
    <x v="3"/>
    <x v="4"/>
    <n v="3719"/>
  </r>
  <r>
    <x v="239"/>
    <x v="1"/>
    <s v="1-E9KX1H "/>
    <x v="0"/>
    <x v="11"/>
    <x v="2"/>
    <x v="2"/>
    <n v="3305"/>
  </r>
  <r>
    <x v="400"/>
    <x v="0"/>
    <s v="1-F04VOI "/>
    <x v="0"/>
    <x v="1"/>
    <x v="1"/>
    <x v="7"/>
    <n v="1965"/>
  </r>
  <r>
    <x v="484"/>
    <x v="1"/>
    <s v="1-H097CN "/>
    <x v="0"/>
    <x v="4"/>
    <x v="0"/>
    <x v="9"/>
    <n v="3873"/>
  </r>
  <r>
    <x v="485"/>
    <x v="0"/>
    <s v="1-ERBDCT "/>
    <x v="0"/>
    <x v="7"/>
    <x v="1"/>
    <x v="7"/>
    <n v="2190"/>
  </r>
  <r>
    <x v="174"/>
    <x v="0"/>
    <s v="1-ERBDC9 "/>
    <x v="0"/>
    <x v="13"/>
    <x v="1"/>
    <x v="2"/>
    <n v="1787"/>
  </r>
  <r>
    <x v="467"/>
    <x v="1"/>
    <s v="1-ERIU1B "/>
    <x v="5"/>
    <x v="1"/>
    <x v="2"/>
    <x v="9"/>
    <n v="6175"/>
  </r>
  <r>
    <x v="457"/>
    <x v="1"/>
    <s v="1-FKTRN7 "/>
    <x v="18"/>
    <x v="8"/>
    <x v="3"/>
    <x v="4"/>
    <n v="2844"/>
  </r>
  <r>
    <x v="486"/>
    <x v="1"/>
    <s v="1-I3ELEV "/>
    <x v="11"/>
    <x v="3"/>
    <x v="0"/>
    <x v="5"/>
    <n v="2217"/>
  </r>
  <r>
    <x v="487"/>
    <x v="0"/>
    <s v="1-GPNXHR "/>
    <x v="0"/>
    <x v="2"/>
    <x v="3"/>
    <x v="4"/>
    <n v="1632"/>
  </r>
  <r>
    <x v="52"/>
    <x v="0"/>
    <s v="1-DR3OXO "/>
    <x v="0"/>
    <x v="5"/>
    <x v="0"/>
    <x v="3"/>
    <n v="3906"/>
  </r>
  <r>
    <x v="99"/>
    <x v="0"/>
    <s v="1-3154K9 "/>
    <x v="0"/>
    <x v="5"/>
    <x v="2"/>
    <x v="2"/>
    <n v="3321"/>
  </r>
  <r>
    <x v="488"/>
    <x v="1"/>
    <s v="1-FFWSCV "/>
    <x v="20"/>
    <x v="8"/>
    <x v="2"/>
    <x v="5"/>
    <n v="2022"/>
  </r>
  <r>
    <x v="489"/>
    <x v="1"/>
    <s v="1-FKE8LD "/>
    <x v="21"/>
    <x v="9"/>
    <x v="0"/>
    <x v="3"/>
    <n v="5382"/>
  </r>
  <r>
    <x v="490"/>
    <x v="0"/>
    <s v="1-ERBDE7 "/>
    <x v="0"/>
    <x v="7"/>
    <x v="0"/>
    <x v="1"/>
    <n v="6477"/>
  </r>
  <r>
    <x v="53"/>
    <x v="1"/>
    <s v="1-FUZKMJ "/>
    <x v="0"/>
    <x v="13"/>
    <x v="1"/>
    <x v="6"/>
    <n v="2978"/>
  </r>
  <r>
    <x v="110"/>
    <x v="0"/>
    <s v="1-ERN5G1 "/>
    <x v="0"/>
    <x v="11"/>
    <x v="2"/>
    <x v="6"/>
    <n v="3176"/>
  </r>
  <r>
    <x v="491"/>
    <x v="0"/>
    <s v="1-ERD2PF "/>
    <x v="0"/>
    <x v="13"/>
    <x v="3"/>
    <x v="8"/>
    <n v="1144"/>
  </r>
  <r>
    <x v="492"/>
    <x v="0"/>
    <s v="1-ERD2JV "/>
    <x v="0"/>
    <x v="12"/>
    <x v="0"/>
    <x v="4"/>
    <n v="5521"/>
  </r>
  <r>
    <x v="300"/>
    <x v="1"/>
    <s v="1-EY167V "/>
    <x v="1"/>
    <x v="12"/>
    <x v="2"/>
    <x v="2"/>
    <n v="8166"/>
  </r>
  <r>
    <x v="317"/>
    <x v="1"/>
    <s v="1-GY1O7K "/>
    <x v="0"/>
    <x v="7"/>
    <x v="3"/>
    <x v="9"/>
    <n v="4064"/>
  </r>
  <r>
    <x v="254"/>
    <x v="1"/>
    <s v="1-FKE8S1 "/>
    <x v="0"/>
    <x v="1"/>
    <x v="3"/>
    <x v="1"/>
    <n v="6015"/>
  </r>
  <r>
    <x v="346"/>
    <x v="1"/>
    <s v="1-FJM9LF "/>
    <x v="0"/>
    <x v="8"/>
    <x v="2"/>
    <x v="5"/>
    <n v="3239"/>
  </r>
  <r>
    <x v="493"/>
    <x v="0"/>
    <s v="1-HN8MAV "/>
    <x v="0"/>
    <x v="9"/>
    <x v="2"/>
    <x v="4"/>
    <n v="6200"/>
  </r>
  <r>
    <x v="494"/>
    <x v="1"/>
    <s v="1-F6RLDU "/>
    <x v="0"/>
    <x v="9"/>
    <x v="3"/>
    <x v="4"/>
    <n v="3101"/>
  </r>
  <r>
    <x v="491"/>
    <x v="0"/>
    <s v="1-GFIBLG "/>
    <x v="0"/>
    <x v="7"/>
    <x v="2"/>
    <x v="3"/>
    <n v="7917"/>
  </r>
  <r>
    <x v="495"/>
    <x v="1"/>
    <s v="1-FPF2GP "/>
    <x v="0"/>
    <x v="0"/>
    <x v="1"/>
    <x v="9"/>
    <n v="2307"/>
  </r>
  <r>
    <x v="462"/>
    <x v="0"/>
    <s v="1-GFYDAX "/>
    <x v="0"/>
    <x v="5"/>
    <x v="1"/>
    <x v="4"/>
    <n v="8900"/>
  </r>
  <r>
    <x v="321"/>
    <x v="1"/>
    <s v="1-I2HMGB "/>
    <x v="0"/>
    <x v="9"/>
    <x v="3"/>
    <x v="1"/>
    <n v="5018"/>
  </r>
  <r>
    <x v="346"/>
    <x v="1"/>
    <s v="1-ERBDAV "/>
    <x v="0"/>
    <x v="0"/>
    <x v="2"/>
    <x v="3"/>
    <n v="3605"/>
  </r>
  <r>
    <x v="12"/>
    <x v="0"/>
    <s v="1-E0ODM3 "/>
    <x v="0"/>
    <x v="11"/>
    <x v="1"/>
    <x v="1"/>
    <n v="7200"/>
  </r>
  <r>
    <x v="266"/>
    <x v="1"/>
    <s v="1-I4360Q "/>
    <x v="0"/>
    <x v="1"/>
    <x v="1"/>
    <x v="4"/>
    <n v="8149"/>
  </r>
  <r>
    <x v="137"/>
    <x v="0"/>
    <s v="1-ERD2S7 "/>
    <x v="0"/>
    <x v="12"/>
    <x v="1"/>
    <x v="8"/>
    <n v="6925"/>
  </r>
  <r>
    <x v="224"/>
    <x v="0"/>
    <s v="1-FKW3WT "/>
    <x v="0"/>
    <x v="1"/>
    <x v="2"/>
    <x v="5"/>
    <n v="3997"/>
  </r>
  <r>
    <x v="210"/>
    <x v="0"/>
    <s v="1-ERITV7 "/>
    <x v="0"/>
    <x v="5"/>
    <x v="3"/>
    <x v="3"/>
    <n v="4653"/>
  </r>
  <r>
    <x v="496"/>
    <x v="0"/>
    <s v="1-HY6H9X "/>
    <x v="16"/>
    <x v="12"/>
    <x v="0"/>
    <x v="9"/>
    <n v="1894"/>
  </r>
  <r>
    <x v="497"/>
    <x v="1"/>
    <s v="1-ERN5HZ "/>
    <x v="0"/>
    <x v="9"/>
    <x v="1"/>
    <x v="6"/>
    <n v="2457"/>
  </r>
  <r>
    <x v="3"/>
    <x v="1"/>
    <s v="1-FKTRMN "/>
    <x v="7"/>
    <x v="4"/>
    <x v="0"/>
    <x v="7"/>
    <n v="5007"/>
  </r>
  <r>
    <x v="498"/>
    <x v="1"/>
    <s v="1-HM8EJ4 "/>
    <x v="14"/>
    <x v="13"/>
    <x v="3"/>
    <x v="9"/>
    <n v="2535"/>
  </r>
  <r>
    <x v="499"/>
    <x v="1"/>
    <s v="1-F16UCE "/>
    <x v="0"/>
    <x v="12"/>
    <x v="3"/>
    <x v="6"/>
    <n v="6623"/>
  </r>
  <r>
    <x v="500"/>
    <x v="1"/>
    <s v="1-GY5HPT "/>
    <x v="22"/>
    <x v="13"/>
    <x v="3"/>
    <x v="0"/>
    <n v="6479"/>
  </r>
  <r>
    <x v="41"/>
    <x v="0"/>
    <s v="1-ERN5GL "/>
    <x v="0"/>
    <x v="7"/>
    <x v="2"/>
    <x v="7"/>
    <n v="5747"/>
  </r>
  <r>
    <x v="236"/>
    <x v="0"/>
    <s v="1-GRL4Z3 "/>
    <x v="0"/>
    <x v="9"/>
    <x v="1"/>
    <x v="9"/>
    <n v="2186"/>
  </r>
  <r>
    <x v="98"/>
    <x v="1"/>
    <s v="1-GCTFAT "/>
    <x v="0"/>
    <x v="13"/>
    <x v="2"/>
    <x v="6"/>
    <n v="4083"/>
  </r>
  <r>
    <x v="48"/>
    <x v="0"/>
    <s v="1-ERN5OD "/>
    <x v="1"/>
    <x v="1"/>
    <x v="1"/>
    <x v="7"/>
    <n v="1664"/>
  </r>
  <r>
    <x v="501"/>
    <x v="1"/>
    <s v="1-FKE8PT "/>
    <x v="0"/>
    <x v="9"/>
    <x v="3"/>
    <x v="2"/>
    <n v="4699"/>
  </r>
  <r>
    <x v="479"/>
    <x v="0"/>
    <s v="1-GA0D9X "/>
    <x v="0"/>
    <x v="13"/>
    <x v="2"/>
    <x v="6"/>
    <n v="6196"/>
  </r>
  <r>
    <x v="273"/>
    <x v="0"/>
    <s v="1-I3N73H "/>
    <x v="1"/>
    <x v="9"/>
    <x v="3"/>
    <x v="9"/>
    <n v="6637"/>
  </r>
  <r>
    <x v="423"/>
    <x v="0"/>
    <s v="1-FNWA92 "/>
    <x v="0"/>
    <x v="13"/>
    <x v="1"/>
    <x v="3"/>
    <n v="6875"/>
  </r>
  <r>
    <x v="502"/>
    <x v="0"/>
    <s v="1-FKE8NV "/>
    <x v="0"/>
    <x v="3"/>
    <x v="3"/>
    <x v="5"/>
    <n v="1285"/>
  </r>
  <r>
    <x v="503"/>
    <x v="0"/>
    <s v="1-FKE8RR "/>
    <x v="0"/>
    <x v="6"/>
    <x v="2"/>
    <x v="7"/>
    <n v="8316"/>
  </r>
  <r>
    <x v="332"/>
    <x v="0"/>
    <s v="1-ERN5S9 "/>
    <x v="1"/>
    <x v="6"/>
    <x v="1"/>
    <x v="6"/>
    <n v="1720"/>
  </r>
  <r>
    <x v="186"/>
    <x v="1"/>
    <s v="1-FKAJWF "/>
    <x v="1"/>
    <x v="8"/>
    <x v="0"/>
    <x v="5"/>
    <n v="4780"/>
  </r>
  <r>
    <x v="33"/>
    <x v="0"/>
    <s v="1-F9EKNP "/>
    <x v="0"/>
    <x v="2"/>
    <x v="0"/>
    <x v="5"/>
    <n v="1268"/>
  </r>
  <r>
    <x v="504"/>
    <x v="0"/>
    <s v="1-E0E71Q "/>
    <x v="1"/>
    <x v="10"/>
    <x v="0"/>
    <x v="2"/>
    <n v="8404"/>
  </r>
  <r>
    <x v="393"/>
    <x v="0"/>
    <s v="1-GA47ZE "/>
    <x v="0"/>
    <x v="8"/>
    <x v="3"/>
    <x v="8"/>
    <n v="7200"/>
  </r>
  <r>
    <x v="505"/>
    <x v="0"/>
    <s v="1-ERD345 "/>
    <x v="0"/>
    <x v="8"/>
    <x v="0"/>
    <x v="8"/>
    <n v="8004"/>
  </r>
  <r>
    <x v="506"/>
    <x v="0"/>
    <s v="1-FKW3ZV "/>
    <x v="0"/>
    <x v="0"/>
    <x v="3"/>
    <x v="2"/>
    <n v="7536"/>
  </r>
  <r>
    <x v="496"/>
    <x v="0"/>
    <s v="1-FKW3XN "/>
    <x v="0"/>
    <x v="8"/>
    <x v="2"/>
    <x v="0"/>
    <n v="6131"/>
  </r>
  <r>
    <x v="507"/>
    <x v="1"/>
    <s v="1-HV5J1X "/>
    <x v="1"/>
    <x v="10"/>
    <x v="3"/>
    <x v="7"/>
    <n v="5017"/>
  </r>
  <r>
    <x v="442"/>
    <x v="0"/>
    <s v="1-E0SL6I "/>
    <x v="0"/>
    <x v="3"/>
    <x v="2"/>
    <x v="3"/>
    <n v="6886"/>
  </r>
  <r>
    <x v="161"/>
    <x v="1"/>
    <s v="1-GRR2GD "/>
    <x v="2"/>
    <x v="12"/>
    <x v="2"/>
    <x v="3"/>
    <n v="5950"/>
  </r>
  <r>
    <x v="166"/>
    <x v="1"/>
    <s v="1-GQ9WP3 "/>
    <x v="5"/>
    <x v="5"/>
    <x v="1"/>
    <x v="3"/>
    <n v="6924"/>
  </r>
  <r>
    <x v="508"/>
    <x v="1"/>
    <s v="1-ICJ3Z9 "/>
    <x v="0"/>
    <x v="7"/>
    <x v="2"/>
    <x v="9"/>
    <n v="3654"/>
  </r>
  <r>
    <x v="0"/>
    <x v="0"/>
    <s v="1-HUAFHR "/>
    <x v="0"/>
    <x v="0"/>
    <x v="3"/>
    <x v="1"/>
    <n v="6647"/>
  </r>
  <r>
    <x v="479"/>
    <x v="0"/>
    <s v="1-ERD2JB "/>
    <x v="15"/>
    <x v="3"/>
    <x v="0"/>
    <x v="3"/>
    <n v="3084"/>
  </r>
  <r>
    <x v="509"/>
    <x v="0"/>
    <s v="1-GKC7KL "/>
    <x v="0"/>
    <x v="1"/>
    <x v="1"/>
    <x v="3"/>
    <n v="8430"/>
  </r>
  <r>
    <x v="439"/>
    <x v="0"/>
    <s v="1-ELCS9M "/>
    <x v="0"/>
    <x v="5"/>
    <x v="1"/>
    <x v="7"/>
    <n v="5628"/>
  </r>
  <r>
    <x v="7"/>
    <x v="0"/>
    <s v="1-H05ZMP "/>
    <x v="0"/>
    <x v="9"/>
    <x v="1"/>
    <x v="0"/>
    <n v="2860"/>
  </r>
  <r>
    <x v="359"/>
    <x v="1"/>
    <s v="1-ERD2MN "/>
    <x v="0"/>
    <x v="0"/>
    <x v="1"/>
    <x v="1"/>
    <n v="1459"/>
  </r>
  <r>
    <x v="316"/>
    <x v="1"/>
    <s v="1-GHO9PZ "/>
    <x v="0"/>
    <x v="6"/>
    <x v="3"/>
    <x v="4"/>
    <n v="4083"/>
  </r>
  <r>
    <x v="254"/>
    <x v="1"/>
    <s v="2S-WOK92 "/>
    <x v="0"/>
    <x v="11"/>
    <x v="2"/>
    <x v="8"/>
    <n v="1110"/>
  </r>
  <r>
    <x v="8"/>
    <x v="1"/>
    <s v="1-FKE8NL "/>
    <x v="0"/>
    <x v="5"/>
    <x v="1"/>
    <x v="1"/>
    <n v="1164"/>
  </r>
  <r>
    <x v="300"/>
    <x v="1"/>
    <s v="1-FQ4KKB "/>
    <x v="0"/>
    <x v="7"/>
    <x v="2"/>
    <x v="3"/>
    <n v="2793"/>
  </r>
  <r>
    <x v="154"/>
    <x v="0"/>
    <s v="1-HKRZDT "/>
    <x v="0"/>
    <x v="11"/>
    <x v="1"/>
    <x v="3"/>
    <n v="1616"/>
  </r>
  <r>
    <x v="438"/>
    <x v="0"/>
    <s v="1-GXMJ8X "/>
    <x v="0"/>
    <x v="11"/>
    <x v="1"/>
    <x v="8"/>
    <n v="8189"/>
  </r>
  <r>
    <x v="13"/>
    <x v="1"/>
    <s v="1-GKFTEW "/>
    <x v="21"/>
    <x v="7"/>
    <x v="3"/>
    <x v="0"/>
    <n v="8256"/>
  </r>
  <r>
    <x v="510"/>
    <x v="0"/>
    <s v="1-ERN5DJ "/>
    <x v="1"/>
    <x v="11"/>
    <x v="0"/>
    <x v="0"/>
    <n v="6312"/>
  </r>
  <r>
    <x v="74"/>
    <x v="1"/>
    <s v="1-GHKYGN "/>
    <x v="4"/>
    <x v="11"/>
    <x v="2"/>
    <x v="3"/>
    <n v="4430"/>
  </r>
  <r>
    <x v="511"/>
    <x v="0"/>
    <s v="1-F6PYWJ "/>
    <x v="0"/>
    <x v="10"/>
    <x v="2"/>
    <x v="7"/>
    <n v="4556"/>
  </r>
  <r>
    <x v="449"/>
    <x v="0"/>
    <s v="1-GXOTZF "/>
    <x v="0"/>
    <x v="12"/>
    <x v="0"/>
    <x v="2"/>
    <n v="2881"/>
  </r>
  <r>
    <x v="512"/>
    <x v="1"/>
    <s v="1-GL7SJZ "/>
    <x v="15"/>
    <x v="2"/>
    <x v="3"/>
    <x v="4"/>
    <n v="5235"/>
  </r>
  <r>
    <x v="506"/>
    <x v="0"/>
    <s v="1-FKE8OP "/>
    <x v="0"/>
    <x v="5"/>
    <x v="0"/>
    <x v="0"/>
    <n v="6533"/>
  </r>
  <r>
    <x v="446"/>
    <x v="1"/>
    <s v="1-FKE8NB "/>
    <x v="0"/>
    <x v="11"/>
    <x v="2"/>
    <x v="1"/>
    <n v="2460"/>
  </r>
  <r>
    <x v="257"/>
    <x v="0"/>
    <s v="1-EJTCO3 "/>
    <x v="0"/>
    <x v="4"/>
    <x v="1"/>
    <x v="6"/>
    <n v="7675"/>
  </r>
  <r>
    <x v="409"/>
    <x v="1"/>
    <s v="1-ERN5NJ "/>
    <x v="16"/>
    <x v="2"/>
    <x v="1"/>
    <x v="7"/>
    <n v="4623"/>
  </r>
  <r>
    <x v="228"/>
    <x v="0"/>
    <s v="1-I346W3 "/>
    <x v="0"/>
    <x v="13"/>
    <x v="0"/>
    <x v="5"/>
    <n v="3043"/>
  </r>
  <r>
    <x v="41"/>
    <x v="0"/>
    <s v="1-ERN5UR "/>
    <x v="1"/>
    <x v="2"/>
    <x v="0"/>
    <x v="4"/>
    <n v="1662"/>
  </r>
  <r>
    <x v="513"/>
    <x v="0"/>
    <s v="1-HKT893 "/>
    <x v="0"/>
    <x v="13"/>
    <x v="3"/>
    <x v="2"/>
    <n v="3252"/>
  </r>
  <r>
    <x v="165"/>
    <x v="1"/>
    <s v="1-GST5Q3 "/>
    <x v="0"/>
    <x v="4"/>
    <x v="0"/>
    <x v="2"/>
    <n v="7931"/>
  </r>
  <r>
    <x v="514"/>
    <x v="0"/>
    <s v="1-FKW3TR "/>
    <x v="0"/>
    <x v="10"/>
    <x v="2"/>
    <x v="4"/>
    <n v="6955"/>
  </r>
  <r>
    <x v="1"/>
    <x v="0"/>
    <s v="1-FIHCEP "/>
    <x v="0"/>
    <x v="12"/>
    <x v="1"/>
    <x v="4"/>
    <n v="7943"/>
  </r>
  <r>
    <x v="231"/>
    <x v="1"/>
    <s v="1-F1D1ZR "/>
    <x v="0"/>
    <x v="11"/>
    <x v="2"/>
    <x v="0"/>
    <n v="5191"/>
  </r>
  <r>
    <x v="515"/>
    <x v="0"/>
    <s v="1-GY5HVJ "/>
    <x v="0"/>
    <x v="6"/>
    <x v="3"/>
    <x v="9"/>
    <n v="2493"/>
  </r>
  <r>
    <x v="282"/>
    <x v="1"/>
    <s v="1-GY5HW1 "/>
    <x v="0"/>
    <x v="0"/>
    <x v="2"/>
    <x v="7"/>
    <n v="7820"/>
  </r>
  <r>
    <x v="516"/>
    <x v="0"/>
    <s v="1-GY5HVS "/>
    <x v="0"/>
    <x v="7"/>
    <x v="0"/>
    <x v="6"/>
    <n v="8555"/>
  </r>
  <r>
    <x v="281"/>
    <x v="0"/>
    <s v="2S-QB358 "/>
    <x v="0"/>
    <x v="0"/>
    <x v="1"/>
    <x v="1"/>
    <n v="2815"/>
  </r>
  <r>
    <x v="371"/>
    <x v="0"/>
    <s v="1-FNPELD "/>
    <x v="0"/>
    <x v="9"/>
    <x v="1"/>
    <x v="9"/>
    <n v="1804"/>
  </r>
  <r>
    <x v="517"/>
    <x v="0"/>
    <s v="1-FWC67T "/>
    <x v="11"/>
    <x v="10"/>
    <x v="1"/>
    <x v="0"/>
    <n v="7678"/>
  </r>
  <r>
    <x v="151"/>
    <x v="0"/>
    <s v="1-GLCNFT "/>
    <x v="0"/>
    <x v="8"/>
    <x v="3"/>
    <x v="6"/>
    <n v="8188"/>
  </r>
  <r>
    <x v="518"/>
    <x v="1"/>
    <s v="1-GY5HQ2 "/>
    <x v="0"/>
    <x v="5"/>
    <x v="3"/>
    <x v="5"/>
    <n v="4789"/>
  </r>
  <r>
    <x v="307"/>
    <x v="1"/>
    <s v="1-GHQR9U "/>
    <x v="1"/>
    <x v="0"/>
    <x v="3"/>
    <x v="5"/>
    <n v="2084"/>
  </r>
  <r>
    <x v="459"/>
    <x v="0"/>
    <s v="1-FKTRPF "/>
    <x v="1"/>
    <x v="3"/>
    <x v="2"/>
    <x v="3"/>
    <n v="7471"/>
  </r>
  <r>
    <x v="61"/>
    <x v="0"/>
    <s v="1-I0ZMDF "/>
    <x v="0"/>
    <x v="2"/>
    <x v="0"/>
    <x v="4"/>
    <n v="6868"/>
  </r>
  <r>
    <x v="519"/>
    <x v="0"/>
    <s v="1-GK8BJ7 "/>
    <x v="0"/>
    <x v="6"/>
    <x v="2"/>
    <x v="5"/>
    <n v="4623"/>
  </r>
  <r>
    <x v="144"/>
    <x v="1"/>
    <s v="1-GFJDKJ "/>
    <x v="20"/>
    <x v="3"/>
    <x v="0"/>
    <x v="5"/>
    <n v="5343"/>
  </r>
  <r>
    <x v="509"/>
    <x v="0"/>
    <s v="1-ERD33L "/>
    <x v="1"/>
    <x v="2"/>
    <x v="3"/>
    <x v="4"/>
    <n v="4152"/>
  </r>
  <r>
    <x v="485"/>
    <x v="0"/>
    <s v="1-GHFVO3 "/>
    <x v="3"/>
    <x v="6"/>
    <x v="2"/>
    <x v="2"/>
    <n v="6106"/>
  </r>
  <r>
    <x v="38"/>
    <x v="0"/>
    <s v="1-F6UDR6 "/>
    <x v="0"/>
    <x v="13"/>
    <x v="1"/>
    <x v="3"/>
    <n v="5693"/>
  </r>
  <r>
    <x v="49"/>
    <x v="0"/>
    <s v="1-DQTLXV "/>
    <x v="0"/>
    <x v="3"/>
    <x v="0"/>
    <x v="8"/>
    <n v="6829"/>
  </r>
  <r>
    <x v="520"/>
    <x v="0"/>
    <s v="1-I0F112 "/>
    <x v="7"/>
    <x v="13"/>
    <x v="0"/>
    <x v="0"/>
    <n v="5593"/>
  </r>
  <r>
    <x v="369"/>
    <x v="0"/>
    <s v="1-GC65L1 "/>
    <x v="0"/>
    <x v="13"/>
    <x v="0"/>
    <x v="4"/>
    <n v="1766"/>
  </r>
  <r>
    <x v="300"/>
    <x v="1"/>
    <s v="1-FKW3UL "/>
    <x v="0"/>
    <x v="4"/>
    <x v="2"/>
    <x v="0"/>
    <n v="6254"/>
  </r>
  <r>
    <x v="499"/>
    <x v="1"/>
    <s v="1-GHFVOD "/>
    <x v="0"/>
    <x v="1"/>
    <x v="0"/>
    <x v="8"/>
    <n v="4929"/>
  </r>
  <r>
    <x v="413"/>
    <x v="1"/>
    <s v="1-FD3U91 "/>
    <x v="0"/>
    <x v="1"/>
    <x v="2"/>
    <x v="4"/>
    <n v="3780"/>
  </r>
  <r>
    <x v="360"/>
    <x v="1"/>
    <s v="1-H2IOV2 "/>
    <x v="0"/>
    <x v="2"/>
    <x v="1"/>
    <x v="0"/>
    <n v="8684"/>
  </r>
  <r>
    <x v="521"/>
    <x v="0"/>
    <s v="1-ERD309 "/>
    <x v="1"/>
    <x v="5"/>
    <x v="3"/>
    <x v="2"/>
    <n v="5875"/>
  </r>
  <r>
    <x v="522"/>
    <x v="1"/>
    <s v="1-FKW3UV "/>
    <x v="0"/>
    <x v="5"/>
    <x v="2"/>
    <x v="4"/>
    <n v="3926"/>
  </r>
  <r>
    <x v="523"/>
    <x v="1"/>
    <s v="1-ERD2ZF "/>
    <x v="0"/>
    <x v="4"/>
    <x v="0"/>
    <x v="0"/>
    <n v="6740"/>
  </r>
  <r>
    <x v="8"/>
    <x v="1"/>
    <s v="1-G8FXH6 "/>
    <x v="0"/>
    <x v="10"/>
    <x v="1"/>
    <x v="6"/>
    <n v="7947"/>
  </r>
  <r>
    <x v="173"/>
    <x v="1"/>
    <s v="1-HVOD6P "/>
    <x v="7"/>
    <x v="12"/>
    <x v="2"/>
    <x v="5"/>
    <n v="3072"/>
  </r>
  <r>
    <x v="524"/>
    <x v="0"/>
    <s v="1-GKLTU0 "/>
    <x v="0"/>
    <x v="2"/>
    <x v="0"/>
    <x v="7"/>
    <n v="2937"/>
  </r>
  <r>
    <x v="231"/>
    <x v="1"/>
    <s v="1-HU5WA7 "/>
    <x v="0"/>
    <x v="13"/>
    <x v="0"/>
    <x v="6"/>
    <n v="2068"/>
  </r>
  <r>
    <x v="396"/>
    <x v="1"/>
    <s v="1-HV9TSH "/>
    <x v="9"/>
    <x v="5"/>
    <x v="1"/>
    <x v="1"/>
    <n v="2620"/>
  </r>
  <r>
    <x v="379"/>
    <x v="1"/>
    <s v="1-ERN5I9 "/>
    <x v="0"/>
    <x v="2"/>
    <x v="2"/>
    <x v="2"/>
    <n v="6186"/>
  </r>
  <r>
    <x v="150"/>
    <x v="1"/>
    <s v="1-I2A5KB "/>
    <x v="19"/>
    <x v="2"/>
    <x v="1"/>
    <x v="7"/>
    <n v="2632"/>
  </r>
  <r>
    <x v="134"/>
    <x v="0"/>
    <s v="1-GY1O3F "/>
    <x v="0"/>
    <x v="4"/>
    <x v="0"/>
    <x v="8"/>
    <n v="6902"/>
  </r>
  <r>
    <x v="373"/>
    <x v="1"/>
    <s v="1-FKE8OF "/>
    <x v="0"/>
    <x v="12"/>
    <x v="0"/>
    <x v="5"/>
    <n v="4334"/>
  </r>
  <r>
    <x v="525"/>
    <x v="0"/>
    <s v="1-ERN5VV "/>
    <x v="0"/>
    <x v="2"/>
    <x v="1"/>
    <x v="1"/>
    <n v="7200"/>
  </r>
  <r>
    <x v="151"/>
    <x v="0"/>
    <s v="1-FHYH9V "/>
    <x v="1"/>
    <x v="7"/>
    <x v="1"/>
    <x v="2"/>
    <n v="2721"/>
  </r>
  <r>
    <x v="480"/>
    <x v="1"/>
    <s v="1-FJM4AB "/>
    <x v="1"/>
    <x v="4"/>
    <x v="0"/>
    <x v="9"/>
    <n v="5041"/>
  </r>
  <r>
    <x v="5"/>
    <x v="1"/>
    <s v="1-GCFZ5N "/>
    <x v="0"/>
    <x v="7"/>
    <x v="2"/>
    <x v="2"/>
    <n v="7649"/>
  </r>
  <r>
    <x v="331"/>
    <x v="0"/>
    <s v="1-FJ3487 "/>
    <x v="0"/>
    <x v="6"/>
    <x v="2"/>
    <x v="7"/>
    <n v="2225"/>
  </r>
  <r>
    <x v="526"/>
    <x v="0"/>
    <s v="1-ERD2TB "/>
    <x v="0"/>
    <x v="1"/>
    <x v="3"/>
    <x v="8"/>
    <n v="2121"/>
  </r>
  <r>
    <x v="52"/>
    <x v="0"/>
    <s v="1-ERN5W5 "/>
    <x v="0"/>
    <x v="4"/>
    <x v="0"/>
    <x v="7"/>
    <n v="8884"/>
  </r>
  <r>
    <x v="283"/>
    <x v="0"/>
    <s v="1-FV6R75 "/>
    <x v="0"/>
    <x v="1"/>
    <x v="1"/>
    <x v="8"/>
    <n v="5953"/>
  </r>
  <r>
    <x v="442"/>
    <x v="0"/>
    <s v="1-FHUQVR "/>
    <x v="1"/>
    <x v="2"/>
    <x v="0"/>
    <x v="4"/>
    <n v="5252"/>
  </r>
  <r>
    <x v="487"/>
    <x v="0"/>
    <s v="1-FRPOL8 "/>
    <x v="25"/>
    <x v="2"/>
    <x v="1"/>
    <x v="9"/>
    <n v="6363"/>
  </r>
  <r>
    <x v="411"/>
    <x v="0"/>
    <s v="1-H0FDUJ "/>
    <x v="0"/>
    <x v="10"/>
    <x v="3"/>
    <x v="1"/>
    <n v="3159"/>
  </r>
  <r>
    <x v="151"/>
    <x v="0"/>
    <s v="1-GKFTGH "/>
    <x v="0"/>
    <x v="0"/>
    <x v="2"/>
    <x v="2"/>
    <n v="8252"/>
  </r>
  <r>
    <x v="52"/>
    <x v="0"/>
    <s v="1-ERD35J "/>
    <x v="0"/>
    <x v="4"/>
    <x v="2"/>
    <x v="1"/>
    <n v="4584"/>
  </r>
  <r>
    <x v="51"/>
    <x v="1"/>
    <s v="1-FKW3YR "/>
    <x v="0"/>
    <x v="3"/>
    <x v="3"/>
    <x v="3"/>
    <n v="6916"/>
  </r>
  <r>
    <x v="527"/>
    <x v="0"/>
    <s v="1-ERIU0R "/>
    <x v="1"/>
    <x v="7"/>
    <x v="1"/>
    <x v="9"/>
    <n v="5136"/>
  </r>
  <r>
    <x v="528"/>
    <x v="0"/>
    <s v="1-FKW405 "/>
    <x v="0"/>
    <x v="6"/>
    <x v="0"/>
    <x v="1"/>
    <n v="2241"/>
  </r>
  <r>
    <x v="94"/>
    <x v="1"/>
    <s v="1-AWHN3V "/>
    <x v="0"/>
    <x v="11"/>
    <x v="3"/>
    <x v="9"/>
    <n v="3611"/>
  </r>
  <r>
    <x v="283"/>
    <x v="0"/>
    <s v="1-EC5UOW "/>
    <x v="0"/>
    <x v="1"/>
    <x v="1"/>
    <x v="8"/>
    <n v="3820"/>
  </r>
  <r>
    <x v="143"/>
    <x v="1"/>
    <s v="1-FNV5MF "/>
    <x v="0"/>
    <x v="9"/>
    <x v="2"/>
    <x v="2"/>
    <n v="6932"/>
  </r>
  <r>
    <x v="507"/>
    <x v="1"/>
    <s v="2N-17ERQ4 "/>
    <x v="0"/>
    <x v="1"/>
    <x v="3"/>
    <x v="8"/>
    <n v="4076"/>
  </r>
  <r>
    <x v="32"/>
    <x v="0"/>
    <s v="1-ERBDDX "/>
    <x v="1"/>
    <x v="9"/>
    <x v="1"/>
    <x v="2"/>
    <n v="1486"/>
  </r>
  <r>
    <x v="529"/>
    <x v="1"/>
    <s v="1-HMRK7X "/>
    <x v="17"/>
    <x v="9"/>
    <x v="2"/>
    <x v="7"/>
    <n v="1408"/>
  </r>
  <r>
    <x v="303"/>
    <x v="1"/>
    <s v="1-GEL7HB "/>
    <x v="0"/>
    <x v="4"/>
    <x v="3"/>
    <x v="0"/>
    <n v="7922"/>
  </r>
  <r>
    <x v="167"/>
    <x v="0"/>
    <s v="1-GTSO6F "/>
    <x v="19"/>
    <x v="13"/>
    <x v="3"/>
    <x v="5"/>
    <n v="7989"/>
  </r>
  <r>
    <x v="214"/>
    <x v="1"/>
    <s v="1-FJ3WJD "/>
    <x v="0"/>
    <x v="9"/>
    <x v="2"/>
    <x v="7"/>
    <n v="4739"/>
  </r>
  <r>
    <x v="483"/>
    <x v="0"/>
    <s v="1-HUA73J "/>
    <x v="0"/>
    <x v="1"/>
    <x v="3"/>
    <x v="7"/>
    <n v="6430"/>
  </r>
  <r>
    <x v="250"/>
    <x v="0"/>
    <s v="1-ERIU1V "/>
    <x v="0"/>
    <x v="3"/>
    <x v="2"/>
    <x v="9"/>
    <n v="1348"/>
  </r>
  <r>
    <x v="463"/>
    <x v="1"/>
    <s v="1-EY3GLD "/>
    <x v="0"/>
    <x v="10"/>
    <x v="0"/>
    <x v="2"/>
    <n v="2218"/>
  </r>
  <r>
    <x v="530"/>
    <x v="1"/>
    <s v="1-ERD2RN "/>
    <x v="0"/>
    <x v="10"/>
    <x v="0"/>
    <x v="0"/>
    <n v="4577"/>
  </r>
  <r>
    <x v="531"/>
    <x v="1"/>
    <s v="1-GHKY1X "/>
    <x v="0"/>
    <x v="3"/>
    <x v="1"/>
    <x v="3"/>
    <n v="3587"/>
  </r>
  <r>
    <x v="532"/>
    <x v="0"/>
    <s v="1-ERIU2P "/>
    <x v="0"/>
    <x v="4"/>
    <x v="1"/>
    <x v="9"/>
    <n v="3087"/>
  </r>
  <r>
    <x v="504"/>
    <x v="0"/>
    <s v="1-F9WDLU "/>
    <x v="0"/>
    <x v="0"/>
    <x v="0"/>
    <x v="7"/>
    <n v="4285"/>
  </r>
  <r>
    <x v="13"/>
    <x v="1"/>
    <s v="1-HUBVUH "/>
    <x v="0"/>
    <x v="13"/>
    <x v="0"/>
    <x v="2"/>
    <n v="4532"/>
  </r>
  <r>
    <x v="0"/>
    <x v="0"/>
    <s v="1-GBNBIR "/>
    <x v="0"/>
    <x v="2"/>
    <x v="1"/>
    <x v="8"/>
    <n v="6090"/>
  </r>
  <r>
    <x v="422"/>
    <x v="0"/>
    <s v="1-ERIU2Z "/>
    <x v="0"/>
    <x v="0"/>
    <x v="1"/>
    <x v="6"/>
    <n v="4939"/>
  </r>
  <r>
    <x v="403"/>
    <x v="0"/>
    <s v="1-G9ZT61 "/>
    <x v="0"/>
    <x v="11"/>
    <x v="0"/>
    <x v="7"/>
    <n v="1134"/>
  </r>
  <r>
    <x v="295"/>
    <x v="1"/>
    <s v="1-FHVIDR "/>
    <x v="0"/>
    <x v="8"/>
    <x v="3"/>
    <x v="3"/>
    <n v="8829"/>
  </r>
  <r>
    <x v="14"/>
    <x v="1"/>
    <s v="1-GY5HR1 "/>
    <x v="0"/>
    <x v="8"/>
    <x v="3"/>
    <x v="2"/>
    <n v="6704"/>
  </r>
  <r>
    <x v="384"/>
    <x v="0"/>
    <s v="1-DR3P05 "/>
    <x v="1"/>
    <x v="8"/>
    <x v="0"/>
    <x v="7"/>
    <n v="7870"/>
  </r>
  <r>
    <x v="533"/>
    <x v="0"/>
    <s v="1-IAW9I2 "/>
    <x v="0"/>
    <x v="11"/>
    <x v="2"/>
    <x v="4"/>
    <n v="4413"/>
  </r>
  <r>
    <x v="35"/>
    <x v="0"/>
    <s v="1-I435TL "/>
    <x v="0"/>
    <x v="2"/>
    <x v="0"/>
    <x v="6"/>
    <n v="6165"/>
  </r>
  <r>
    <x v="162"/>
    <x v="0"/>
    <s v="1-EJ4X5W "/>
    <x v="0"/>
    <x v="12"/>
    <x v="2"/>
    <x v="9"/>
    <n v="1541"/>
  </r>
  <r>
    <x v="380"/>
    <x v="0"/>
    <s v="1-ERN5NT "/>
    <x v="0"/>
    <x v="9"/>
    <x v="3"/>
    <x v="3"/>
    <n v="2633"/>
  </r>
  <r>
    <x v="441"/>
    <x v="1"/>
    <s v="1-EUNRWM "/>
    <x v="0"/>
    <x v="0"/>
    <x v="3"/>
    <x v="7"/>
    <n v="1294"/>
  </r>
  <r>
    <x v="250"/>
    <x v="0"/>
    <s v="1-FBN0B1 "/>
    <x v="15"/>
    <x v="5"/>
    <x v="1"/>
    <x v="8"/>
    <n v="7800"/>
  </r>
  <r>
    <x v="176"/>
    <x v="0"/>
    <s v="1-ERITZX "/>
    <x v="25"/>
    <x v="2"/>
    <x v="3"/>
    <x v="5"/>
    <n v="3672"/>
  </r>
  <r>
    <x v="382"/>
    <x v="1"/>
    <s v="1-I0F124 "/>
    <x v="0"/>
    <x v="13"/>
    <x v="1"/>
    <x v="7"/>
    <n v="7899"/>
  </r>
  <r>
    <x v="534"/>
    <x v="1"/>
    <s v="1-GKFTC8 "/>
    <x v="13"/>
    <x v="13"/>
    <x v="3"/>
    <x v="5"/>
    <n v="1498"/>
  </r>
  <r>
    <x v="471"/>
    <x v="1"/>
    <s v="1-FKE8PJ "/>
    <x v="0"/>
    <x v="5"/>
    <x v="0"/>
    <x v="3"/>
    <n v="1108"/>
  </r>
  <r>
    <x v="486"/>
    <x v="1"/>
    <s v="1-FKW3UB "/>
    <x v="0"/>
    <x v="10"/>
    <x v="3"/>
    <x v="8"/>
    <n v="2757"/>
  </r>
  <r>
    <x v="482"/>
    <x v="0"/>
    <s v="1-ERN5JX "/>
    <x v="0"/>
    <x v="7"/>
    <x v="2"/>
    <x v="2"/>
    <n v="7859"/>
  </r>
  <r>
    <x v="205"/>
    <x v="0"/>
    <s v="1-FOP011 "/>
    <x v="0"/>
    <x v="2"/>
    <x v="3"/>
    <x v="3"/>
    <n v="6963"/>
  </r>
  <r>
    <x v="95"/>
    <x v="0"/>
    <s v="1-ERN5D9 "/>
    <x v="16"/>
    <x v="3"/>
    <x v="3"/>
    <x v="4"/>
    <n v="6406"/>
  </r>
  <r>
    <x v="75"/>
    <x v="1"/>
    <s v="2S-KR0QX "/>
    <x v="0"/>
    <x v="1"/>
    <x v="1"/>
    <x v="1"/>
    <n v="2713"/>
  </r>
  <r>
    <x v="186"/>
    <x v="1"/>
    <s v="1-I89WIL "/>
    <x v="0"/>
    <x v="12"/>
    <x v="2"/>
    <x v="6"/>
    <n v="6602"/>
  </r>
  <r>
    <x v="161"/>
    <x v="1"/>
    <s v="1-H45V15 "/>
    <x v="19"/>
    <x v="9"/>
    <x v="1"/>
    <x v="3"/>
    <n v="6767"/>
  </r>
  <r>
    <x v="459"/>
    <x v="0"/>
    <s v="2N-5DU6T "/>
    <x v="0"/>
    <x v="7"/>
    <x v="1"/>
    <x v="4"/>
    <n v="4756"/>
  </r>
  <r>
    <x v="18"/>
    <x v="1"/>
    <s v="1-EDEYP6 "/>
    <x v="0"/>
    <x v="5"/>
    <x v="1"/>
    <x v="8"/>
    <n v="2617"/>
  </r>
  <r>
    <x v="415"/>
    <x v="1"/>
    <s v="1-ERN5O3 "/>
    <x v="0"/>
    <x v="1"/>
    <x v="3"/>
    <x v="4"/>
    <n v="7460"/>
  </r>
  <r>
    <x v="341"/>
    <x v="0"/>
    <s v="1-DQTLTQ "/>
    <x v="8"/>
    <x v="7"/>
    <x v="3"/>
    <x v="9"/>
    <n v="5502"/>
  </r>
  <r>
    <x v="529"/>
    <x v="1"/>
    <s v="1-GBB0CL "/>
    <x v="0"/>
    <x v="10"/>
    <x v="0"/>
    <x v="5"/>
    <n v="2537"/>
  </r>
  <r>
    <x v="195"/>
    <x v="0"/>
    <s v="1-FRKU5T "/>
    <x v="0"/>
    <x v="9"/>
    <x v="1"/>
    <x v="3"/>
    <n v="1871"/>
  </r>
  <r>
    <x v="463"/>
    <x v="1"/>
    <s v="1-HPQ4QD "/>
    <x v="0"/>
    <x v="8"/>
    <x v="0"/>
    <x v="2"/>
    <n v="3012"/>
  </r>
  <r>
    <x v="482"/>
    <x v="0"/>
    <s v="1-HJWC5V "/>
    <x v="0"/>
    <x v="6"/>
    <x v="3"/>
    <x v="1"/>
    <n v="4123"/>
  </r>
  <r>
    <x v="535"/>
    <x v="1"/>
    <s v="1-I6G3XP "/>
    <x v="0"/>
    <x v="3"/>
    <x v="2"/>
    <x v="5"/>
    <n v="5622"/>
  </r>
  <r>
    <x v="290"/>
    <x v="0"/>
    <s v="1-GB4Y6R "/>
    <x v="0"/>
    <x v="10"/>
    <x v="1"/>
    <x v="6"/>
    <n v="8555"/>
  </r>
  <r>
    <x v="414"/>
    <x v="0"/>
    <s v="2S-ZIYCS "/>
    <x v="0"/>
    <x v="9"/>
    <x v="0"/>
    <x v="1"/>
    <n v="5928"/>
  </r>
  <r>
    <x v="536"/>
    <x v="0"/>
    <s v="1-I1YEE5 "/>
    <x v="18"/>
    <x v="3"/>
    <x v="0"/>
    <x v="6"/>
    <n v="7755"/>
  </r>
  <r>
    <x v="418"/>
    <x v="1"/>
    <s v="1-FW9IMP "/>
    <x v="0"/>
    <x v="11"/>
    <x v="1"/>
    <x v="8"/>
    <n v="1398"/>
  </r>
  <r>
    <x v="167"/>
    <x v="0"/>
    <s v="1-GBUOOD "/>
    <x v="0"/>
    <x v="7"/>
    <x v="3"/>
    <x v="7"/>
    <n v="8996"/>
  </r>
  <r>
    <x v="337"/>
    <x v="1"/>
    <s v="1-GEFRX1 "/>
    <x v="0"/>
    <x v="8"/>
    <x v="2"/>
    <x v="0"/>
    <n v="5322"/>
  </r>
  <r>
    <x v="286"/>
    <x v="0"/>
    <s v="1-ERN59X "/>
    <x v="1"/>
    <x v="11"/>
    <x v="3"/>
    <x v="8"/>
    <n v="2575"/>
  </r>
  <r>
    <x v="537"/>
    <x v="0"/>
    <s v="1-GBB08I "/>
    <x v="0"/>
    <x v="10"/>
    <x v="2"/>
    <x v="7"/>
    <n v="6970"/>
  </r>
  <r>
    <x v="105"/>
    <x v="0"/>
    <s v="1-GY5HRS "/>
    <x v="0"/>
    <x v="7"/>
    <x v="1"/>
    <x v="2"/>
    <n v="5876"/>
  </r>
  <r>
    <x v="538"/>
    <x v="0"/>
    <s v="1-DQTLT9 "/>
    <x v="4"/>
    <x v="1"/>
    <x v="1"/>
    <x v="2"/>
    <n v="5864"/>
  </r>
  <r>
    <x v="55"/>
    <x v="0"/>
    <s v="1-F58UQR "/>
    <x v="0"/>
    <x v="2"/>
    <x v="1"/>
    <x v="5"/>
    <n v="5291"/>
  </r>
  <r>
    <x v="539"/>
    <x v="0"/>
    <s v="1-HDHGSF "/>
    <x v="0"/>
    <x v="1"/>
    <x v="1"/>
    <x v="2"/>
    <n v="6644"/>
  </r>
  <r>
    <x v="307"/>
    <x v="1"/>
    <s v="1-FKTRP5 "/>
    <x v="0"/>
    <x v="10"/>
    <x v="0"/>
    <x v="6"/>
    <n v="8281"/>
  </r>
  <r>
    <x v="72"/>
    <x v="1"/>
    <s v="1-FQV7Q1 "/>
    <x v="0"/>
    <x v="1"/>
    <x v="3"/>
    <x v="2"/>
    <n v="6015"/>
  </r>
  <r>
    <x v="256"/>
    <x v="1"/>
    <s v="1-HS5JA7 "/>
    <x v="1"/>
    <x v="9"/>
    <x v="3"/>
    <x v="2"/>
    <n v="6994"/>
  </r>
  <r>
    <x v="44"/>
    <x v="0"/>
    <s v="1-HN9ACP "/>
    <x v="0"/>
    <x v="7"/>
    <x v="3"/>
    <x v="2"/>
    <n v="6105"/>
  </r>
  <r>
    <x v="540"/>
    <x v="0"/>
    <s v="1-FD3UA5 "/>
    <x v="0"/>
    <x v="0"/>
    <x v="1"/>
    <x v="7"/>
    <n v="1674"/>
  </r>
  <r>
    <x v="497"/>
    <x v="1"/>
    <s v="1-F8VK0W "/>
    <x v="0"/>
    <x v="7"/>
    <x v="0"/>
    <x v="6"/>
    <n v="7861"/>
  </r>
  <r>
    <x v="541"/>
    <x v="1"/>
    <s v="1-GYNX8U "/>
    <x v="0"/>
    <x v="6"/>
    <x v="0"/>
    <x v="2"/>
    <n v="2369"/>
  </r>
  <r>
    <x v="473"/>
    <x v="1"/>
    <s v="1-ERN58J "/>
    <x v="0"/>
    <x v="12"/>
    <x v="1"/>
    <x v="5"/>
    <n v="7608"/>
  </r>
  <r>
    <x v="117"/>
    <x v="1"/>
    <s v="1-GLGM5B "/>
    <x v="0"/>
    <x v="2"/>
    <x v="2"/>
    <x v="1"/>
    <n v="1993"/>
  </r>
  <r>
    <x v="251"/>
    <x v="0"/>
    <s v="1-G4I4B4 "/>
    <x v="10"/>
    <x v="10"/>
    <x v="3"/>
    <x v="5"/>
    <n v="4437"/>
  </r>
  <r>
    <x v="5"/>
    <x v="1"/>
    <s v="1-GS17VX "/>
    <x v="0"/>
    <x v="2"/>
    <x v="3"/>
    <x v="8"/>
    <n v="1038"/>
  </r>
  <r>
    <x v="250"/>
    <x v="0"/>
    <s v="1-F01KNH "/>
    <x v="0"/>
    <x v="5"/>
    <x v="3"/>
    <x v="5"/>
    <n v="2639"/>
  </r>
  <r>
    <x v="508"/>
    <x v="1"/>
    <s v="1-ERN5L1 "/>
    <x v="0"/>
    <x v="6"/>
    <x v="1"/>
    <x v="0"/>
    <n v="1157"/>
  </r>
  <r>
    <x v="472"/>
    <x v="0"/>
    <s v="1-ERIU1L "/>
    <x v="0"/>
    <x v="2"/>
    <x v="2"/>
    <x v="1"/>
    <n v="2236"/>
  </r>
  <r>
    <x v="476"/>
    <x v="0"/>
    <s v="1-ERN5RF "/>
    <x v="0"/>
    <x v="7"/>
    <x v="0"/>
    <x v="3"/>
    <n v="2159"/>
  </r>
  <r>
    <x v="374"/>
    <x v="1"/>
    <s v="1-ERD363 "/>
    <x v="4"/>
    <x v="11"/>
    <x v="2"/>
    <x v="6"/>
    <n v="4029"/>
  </r>
  <r>
    <x v="508"/>
    <x v="1"/>
    <s v="1-FYRGYF "/>
    <x v="0"/>
    <x v="0"/>
    <x v="1"/>
    <x v="9"/>
    <n v="3502"/>
  </r>
  <r>
    <x v="295"/>
    <x v="1"/>
    <s v="1-FHUV5D "/>
    <x v="2"/>
    <x v="8"/>
    <x v="2"/>
    <x v="8"/>
    <n v="5355"/>
  </r>
  <r>
    <x v="256"/>
    <x v="1"/>
    <s v="1-FUKC95 "/>
    <x v="0"/>
    <x v="7"/>
    <x v="1"/>
    <x v="6"/>
    <n v="5425"/>
  </r>
  <r>
    <x v="411"/>
    <x v="0"/>
    <s v="1-GL66Z7 "/>
    <x v="0"/>
    <x v="11"/>
    <x v="2"/>
    <x v="3"/>
    <n v="6785"/>
  </r>
  <r>
    <x v="542"/>
    <x v="0"/>
    <s v="1-GST5QL "/>
    <x v="0"/>
    <x v="11"/>
    <x v="0"/>
    <x v="9"/>
    <n v="8992"/>
  </r>
  <r>
    <x v="271"/>
    <x v="1"/>
    <s v="1-I0V5GL "/>
    <x v="20"/>
    <x v="4"/>
    <x v="2"/>
    <x v="0"/>
    <n v="7023"/>
  </r>
  <r>
    <x v="486"/>
    <x v="1"/>
    <s v="1-H2IOM4 "/>
    <x v="25"/>
    <x v="12"/>
    <x v="0"/>
    <x v="2"/>
    <n v="3709"/>
  </r>
  <r>
    <x v="121"/>
    <x v="1"/>
    <s v="1-ERD36D "/>
    <x v="0"/>
    <x v="3"/>
    <x v="2"/>
    <x v="3"/>
    <n v="2568"/>
  </r>
  <r>
    <x v="386"/>
    <x v="1"/>
    <s v="1-ERBDF1 "/>
    <x v="1"/>
    <x v="9"/>
    <x v="3"/>
    <x v="9"/>
    <n v="1566"/>
  </r>
  <r>
    <x v="132"/>
    <x v="0"/>
    <s v="1-GR854E "/>
    <x v="1"/>
    <x v="3"/>
    <x v="2"/>
    <x v="9"/>
    <n v="4116"/>
  </r>
  <r>
    <x v="371"/>
    <x v="0"/>
    <s v="1-HZ4J8X "/>
    <x v="0"/>
    <x v="4"/>
    <x v="0"/>
    <x v="1"/>
    <n v="7472"/>
  </r>
  <r>
    <x v="333"/>
    <x v="1"/>
    <s v="1-G6WJ86 "/>
    <x v="1"/>
    <x v="12"/>
    <x v="1"/>
    <x v="3"/>
    <n v="7217"/>
  </r>
  <r>
    <x v="378"/>
    <x v="1"/>
    <s v="1-GA47ZU "/>
    <x v="0"/>
    <x v="6"/>
    <x v="0"/>
    <x v="4"/>
    <n v="7480"/>
  </r>
  <r>
    <x v="140"/>
    <x v="0"/>
    <s v="1-G6WJ6U "/>
    <x v="0"/>
    <x v="3"/>
    <x v="1"/>
    <x v="6"/>
    <n v="3308"/>
  </r>
  <r>
    <x v="165"/>
    <x v="1"/>
    <s v="1-GBTNMH "/>
    <x v="0"/>
    <x v="2"/>
    <x v="3"/>
    <x v="7"/>
    <n v="8559"/>
  </r>
  <r>
    <x v="3"/>
    <x v="1"/>
    <s v="1-F4X441 "/>
    <x v="0"/>
    <x v="11"/>
    <x v="0"/>
    <x v="6"/>
    <n v="3073"/>
  </r>
  <r>
    <x v="543"/>
    <x v="1"/>
    <s v="1-DR3P0C "/>
    <x v="1"/>
    <x v="13"/>
    <x v="2"/>
    <x v="8"/>
    <n v="7811"/>
  </r>
  <r>
    <x v="252"/>
    <x v="0"/>
    <s v="1-ERBDAB "/>
    <x v="9"/>
    <x v="10"/>
    <x v="3"/>
    <x v="8"/>
    <n v="3944"/>
  </r>
  <r>
    <x v="400"/>
    <x v="0"/>
    <s v="1-I24JIE "/>
    <x v="22"/>
    <x v="2"/>
    <x v="0"/>
    <x v="1"/>
    <n v="1858"/>
  </r>
  <r>
    <x v="544"/>
    <x v="0"/>
    <s v="1-GXOU02 "/>
    <x v="0"/>
    <x v="0"/>
    <x v="3"/>
    <x v="9"/>
    <n v="1241"/>
  </r>
  <r>
    <x v="489"/>
    <x v="1"/>
    <s v="1-HSKZ4R "/>
    <x v="1"/>
    <x v="9"/>
    <x v="1"/>
    <x v="5"/>
    <n v="4558"/>
  </r>
  <r>
    <x v="90"/>
    <x v="0"/>
    <s v="1-HB0BBB "/>
    <x v="13"/>
    <x v="1"/>
    <x v="0"/>
    <x v="2"/>
    <n v="5348"/>
  </r>
  <r>
    <x v="532"/>
    <x v="0"/>
    <s v="1-I2KLY3 "/>
    <x v="0"/>
    <x v="11"/>
    <x v="0"/>
    <x v="5"/>
    <n v="1658"/>
  </r>
  <r>
    <x v="272"/>
    <x v="1"/>
    <s v="1-HBPL07 "/>
    <x v="1"/>
    <x v="11"/>
    <x v="2"/>
    <x v="6"/>
    <n v="4898"/>
  </r>
  <r>
    <x v="120"/>
    <x v="1"/>
    <s v="1-FJV0ZL "/>
    <x v="1"/>
    <x v="13"/>
    <x v="3"/>
    <x v="7"/>
    <n v="3553"/>
  </r>
  <r>
    <x v="108"/>
    <x v="0"/>
    <s v="1-GXXU2H "/>
    <x v="0"/>
    <x v="3"/>
    <x v="2"/>
    <x v="6"/>
    <n v="4903"/>
  </r>
  <r>
    <x v="338"/>
    <x v="1"/>
    <s v="1-ERN59D "/>
    <x v="0"/>
    <x v="0"/>
    <x v="3"/>
    <x v="6"/>
    <n v="2554"/>
  </r>
  <r>
    <x v="43"/>
    <x v="0"/>
    <s v="1-ERBDBZ "/>
    <x v="0"/>
    <x v="2"/>
    <x v="3"/>
    <x v="6"/>
    <n v="6712"/>
  </r>
  <r>
    <x v="207"/>
    <x v="1"/>
    <s v="1-GMGHG9 "/>
    <x v="0"/>
    <x v="4"/>
    <x v="3"/>
    <x v="0"/>
    <n v="5394"/>
  </r>
  <r>
    <x v="236"/>
    <x v="0"/>
    <s v="1-FKTROL "/>
    <x v="21"/>
    <x v="5"/>
    <x v="0"/>
    <x v="4"/>
    <n v="3851"/>
  </r>
  <r>
    <x v="319"/>
    <x v="1"/>
    <s v="1-FKW3X3 "/>
    <x v="0"/>
    <x v="1"/>
    <x v="3"/>
    <x v="9"/>
    <n v="6980"/>
  </r>
  <r>
    <x v="545"/>
    <x v="1"/>
    <s v="1-FKW3TH "/>
    <x v="0"/>
    <x v="0"/>
    <x v="1"/>
    <x v="6"/>
    <n v="7922"/>
  </r>
  <r>
    <x v="66"/>
    <x v="0"/>
    <s v="1-I4TD4X "/>
    <x v="0"/>
    <x v="8"/>
    <x v="0"/>
    <x v="3"/>
    <n v="8729"/>
  </r>
  <r>
    <x v="19"/>
    <x v="1"/>
    <s v="1-GP2AHA "/>
    <x v="0"/>
    <x v="0"/>
    <x v="3"/>
    <x v="0"/>
    <n v="5692"/>
  </r>
  <r>
    <x v="0"/>
    <x v="0"/>
    <s v="1-FVHEHO "/>
    <x v="0"/>
    <x v="9"/>
    <x v="0"/>
    <x v="7"/>
    <n v="7093"/>
  </r>
  <r>
    <x v="236"/>
    <x v="0"/>
    <s v="1-ERD34F "/>
    <x v="0"/>
    <x v="0"/>
    <x v="2"/>
    <x v="7"/>
    <n v="3558"/>
  </r>
  <r>
    <x v="546"/>
    <x v="0"/>
    <s v="1-G6AC6D "/>
    <x v="0"/>
    <x v="11"/>
    <x v="0"/>
    <x v="2"/>
    <n v="2061"/>
  </r>
  <r>
    <x v="547"/>
    <x v="1"/>
    <s v="1-GRTYZZ "/>
    <x v="16"/>
    <x v="3"/>
    <x v="3"/>
    <x v="7"/>
    <n v="5885"/>
  </r>
  <r>
    <x v="68"/>
    <x v="1"/>
    <s v="1-DUVFTT "/>
    <x v="0"/>
    <x v="7"/>
    <x v="2"/>
    <x v="8"/>
    <n v="7540"/>
  </r>
  <r>
    <x v="226"/>
    <x v="1"/>
    <s v="1-HU7H3R "/>
    <x v="1"/>
    <x v="12"/>
    <x v="3"/>
    <x v="8"/>
    <n v="5898"/>
  </r>
  <r>
    <x v="548"/>
    <x v="0"/>
    <s v="1-GY1O1F "/>
    <x v="0"/>
    <x v="5"/>
    <x v="1"/>
    <x v="5"/>
    <n v="7459"/>
  </r>
  <r>
    <x v="123"/>
    <x v="1"/>
    <s v="1-I4I9VL "/>
    <x v="1"/>
    <x v="7"/>
    <x v="3"/>
    <x v="5"/>
    <n v="7585"/>
  </r>
  <r>
    <x v="432"/>
    <x v="0"/>
    <s v="1-H2IP0A "/>
    <x v="0"/>
    <x v="12"/>
    <x v="1"/>
    <x v="1"/>
    <n v="7615"/>
  </r>
  <r>
    <x v="28"/>
    <x v="1"/>
    <s v="1-HZ4JB5 "/>
    <x v="0"/>
    <x v="5"/>
    <x v="2"/>
    <x v="1"/>
    <n v="4148"/>
  </r>
  <r>
    <x v="462"/>
    <x v="0"/>
    <s v="1-FKTRNH "/>
    <x v="14"/>
    <x v="7"/>
    <x v="1"/>
    <x v="7"/>
    <n v="5705"/>
  </r>
  <r>
    <x v="549"/>
    <x v="0"/>
    <s v="1-ERD2XH "/>
    <x v="8"/>
    <x v="8"/>
    <x v="1"/>
    <x v="3"/>
    <n v="5496"/>
  </r>
  <r>
    <x v="341"/>
    <x v="0"/>
    <s v="1-ERN589 "/>
    <x v="0"/>
    <x v="8"/>
    <x v="3"/>
    <x v="1"/>
    <n v="5074"/>
  </r>
  <r>
    <x v="550"/>
    <x v="0"/>
    <s v="1-ERN57P "/>
    <x v="0"/>
    <x v="5"/>
    <x v="0"/>
    <x v="6"/>
    <n v="2928"/>
  </r>
  <r>
    <x v="390"/>
    <x v="0"/>
    <s v="1-ERN5KR "/>
    <x v="0"/>
    <x v="8"/>
    <x v="2"/>
    <x v="6"/>
    <n v="8643"/>
  </r>
  <r>
    <x v="551"/>
    <x v="0"/>
    <s v="1-ERN5AH "/>
    <x v="0"/>
    <x v="1"/>
    <x v="2"/>
    <x v="9"/>
    <n v="7714"/>
  </r>
  <r>
    <x v="552"/>
    <x v="1"/>
    <s v="1-H1AY59 "/>
    <x v="0"/>
    <x v="0"/>
    <x v="0"/>
    <x v="1"/>
    <n v="3036"/>
  </r>
  <r>
    <x v="243"/>
    <x v="0"/>
    <s v="1-GHQR85 "/>
    <x v="25"/>
    <x v="3"/>
    <x v="1"/>
    <x v="2"/>
    <n v="3906"/>
  </r>
  <r>
    <x v="423"/>
    <x v="0"/>
    <s v="1-FQQM6F "/>
    <x v="0"/>
    <x v="13"/>
    <x v="1"/>
    <x v="4"/>
    <n v="1575"/>
  </r>
  <r>
    <x v="553"/>
    <x v="1"/>
    <s v="1-F5G4N3 "/>
    <x v="0"/>
    <x v="2"/>
    <x v="0"/>
    <x v="6"/>
    <n v="5112"/>
  </r>
  <r>
    <x v="132"/>
    <x v="0"/>
    <s v="1-DJZN6E "/>
    <x v="0"/>
    <x v="8"/>
    <x v="3"/>
    <x v="7"/>
    <n v="8616"/>
  </r>
  <r>
    <x v="344"/>
    <x v="1"/>
    <s v="1-ERN56V "/>
    <x v="0"/>
    <x v="11"/>
    <x v="3"/>
    <x v="2"/>
    <n v="3956"/>
  </r>
  <r>
    <x v="217"/>
    <x v="0"/>
    <s v="1-FQH38W "/>
    <x v="0"/>
    <x v="8"/>
    <x v="0"/>
    <x v="2"/>
    <n v="6296"/>
  </r>
  <r>
    <x v="492"/>
    <x v="0"/>
    <s v="1-F6RXUP "/>
    <x v="1"/>
    <x v="11"/>
    <x v="2"/>
    <x v="8"/>
    <n v="6772"/>
  </r>
  <r>
    <x v="69"/>
    <x v="0"/>
    <s v="1-FWDNGR "/>
    <x v="0"/>
    <x v="2"/>
    <x v="0"/>
    <x v="2"/>
    <n v="4508"/>
  </r>
  <r>
    <x v="554"/>
    <x v="1"/>
    <s v="1-H5SXKP "/>
    <x v="0"/>
    <x v="4"/>
    <x v="2"/>
    <x v="5"/>
    <n v="5727"/>
  </r>
  <r>
    <x v="373"/>
    <x v="1"/>
    <s v="1-I33CYL "/>
    <x v="1"/>
    <x v="13"/>
    <x v="2"/>
    <x v="9"/>
    <n v="8353"/>
  </r>
  <r>
    <x v="78"/>
    <x v="0"/>
    <s v="1-G9D1O8 "/>
    <x v="1"/>
    <x v="3"/>
    <x v="0"/>
    <x v="2"/>
    <n v="4246"/>
  </r>
  <r>
    <x v="555"/>
    <x v="1"/>
    <s v="1-HJWC68 "/>
    <x v="0"/>
    <x v="12"/>
    <x v="2"/>
    <x v="3"/>
    <n v="6536"/>
  </r>
  <r>
    <x v="230"/>
    <x v="0"/>
    <s v="1-GR8534 "/>
    <x v="1"/>
    <x v="10"/>
    <x v="0"/>
    <x v="0"/>
    <n v="2835"/>
  </r>
  <r>
    <x v="107"/>
    <x v="0"/>
    <s v="1-F16U9R "/>
    <x v="0"/>
    <x v="6"/>
    <x v="3"/>
    <x v="5"/>
    <n v="4541"/>
  </r>
  <r>
    <x v="556"/>
    <x v="0"/>
    <s v="1-F6RHB5 "/>
    <x v="0"/>
    <x v="3"/>
    <x v="1"/>
    <x v="3"/>
    <n v="5845"/>
  </r>
  <r>
    <x v="80"/>
    <x v="0"/>
    <s v="1-GYNX8H "/>
    <x v="0"/>
    <x v="4"/>
    <x v="3"/>
    <x v="3"/>
    <n v="8309"/>
  </r>
  <r>
    <x v="396"/>
    <x v="1"/>
    <s v="1-ERD33V "/>
    <x v="13"/>
    <x v="8"/>
    <x v="2"/>
    <x v="4"/>
    <n v="5557"/>
  </r>
  <r>
    <x v="1"/>
    <x v="0"/>
    <s v="1-GH8ZIH "/>
    <x v="20"/>
    <x v="13"/>
    <x v="1"/>
    <x v="5"/>
    <n v="3740"/>
  </r>
  <r>
    <x v="233"/>
    <x v="0"/>
    <s v="1-F6UDQB "/>
    <x v="17"/>
    <x v="7"/>
    <x v="1"/>
    <x v="3"/>
    <n v="8155"/>
  </r>
  <r>
    <x v="180"/>
    <x v="0"/>
    <s v="1-GY5HUS "/>
    <x v="0"/>
    <x v="13"/>
    <x v="1"/>
    <x v="3"/>
    <n v="5192"/>
  </r>
  <r>
    <x v="96"/>
    <x v="1"/>
    <s v="1-EUL9HP "/>
    <x v="0"/>
    <x v="10"/>
    <x v="3"/>
    <x v="5"/>
    <n v="1495"/>
  </r>
  <r>
    <x v="6"/>
    <x v="0"/>
    <s v="1-ERN5K7 "/>
    <x v="0"/>
    <x v="5"/>
    <x v="3"/>
    <x v="7"/>
    <n v="4172"/>
  </r>
  <r>
    <x v="469"/>
    <x v="0"/>
    <s v="1-ERIU25 "/>
    <x v="0"/>
    <x v="9"/>
    <x v="1"/>
    <x v="1"/>
    <n v="6578"/>
  </r>
  <r>
    <x v="465"/>
    <x v="1"/>
    <s v="1-GDH00Y "/>
    <x v="0"/>
    <x v="1"/>
    <x v="1"/>
    <x v="3"/>
    <n v="2037"/>
  </r>
  <r>
    <x v="557"/>
    <x v="0"/>
    <s v="1-GLFXHJ "/>
    <x v="1"/>
    <x v="0"/>
    <x v="3"/>
    <x v="7"/>
    <n v="6278"/>
  </r>
  <r>
    <x v="536"/>
    <x v="0"/>
    <s v="1-F6UDRE "/>
    <x v="1"/>
    <x v="7"/>
    <x v="0"/>
    <x v="5"/>
    <n v="2414"/>
  </r>
  <r>
    <x v="266"/>
    <x v="1"/>
    <s v="1-GED783 "/>
    <x v="0"/>
    <x v="4"/>
    <x v="3"/>
    <x v="4"/>
    <n v="4331"/>
  </r>
  <r>
    <x v="481"/>
    <x v="1"/>
    <s v="1-FOHLK0 "/>
    <x v="0"/>
    <x v="2"/>
    <x v="1"/>
    <x v="9"/>
    <n v="7582"/>
  </r>
  <r>
    <x v="261"/>
    <x v="0"/>
    <s v="1-G3WYS3 "/>
    <x v="0"/>
    <x v="6"/>
    <x v="1"/>
    <x v="4"/>
    <n v="1936"/>
  </r>
  <r>
    <x v="240"/>
    <x v="0"/>
    <s v="1-FJDRJX "/>
    <x v="19"/>
    <x v="7"/>
    <x v="2"/>
    <x v="3"/>
    <n v="5488"/>
  </r>
  <r>
    <x v="245"/>
    <x v="0"/>
    <s v="1-FV0BSH "/>
    <x v="1"/>
    <x v="6"/>
    <x v="1"/>
    <x v="8"/>
    <n v="7085"/>
  </r>
  <r>
    <x v="145"/>
    <x v="1"/>
    <s v="1-HUWE5D "/>
    <x v="3"/>
    <x v="0"/>
    <x v="1"/>
    <x v="0"/>
    <n v="4454"/>
  </r>
  <r>
    <x v="558"/>
    <x v="0"/>
    <s v="1-GTAK01 "/>
    <x v="22"/>
    <x v="0"/>
    <x v="0"/>
    <x v="9"/>
    <n v="3240"/>
  </r>
  <r>
    <x v="89"/>
    <x v="1"/>
    <s v="1-GFU0UF "/>
    <x v="0"/>
    <x v="0"/>
    <x v="1"/>
    <x v="1"/>
    <n v="7889"/>
  </r>
  <r>
    <x v="154"/>
    <x v="0"/>
    <s v="1-GC0TVJ "/>
    <x v="0"/>
    <x v="7"/>
    <x v="1"/>
    <x v="1"/>
    <n v="4634"/>
  </r>
  <r>
    <x v="481"/>
    <x v="1"/>
    <s v="1-FKE8M7 "/>
    <x v="14"/>
    <x v="2"/>
    <x v="3"/>
    <x v="4"/>
    <n v="3432"/>
  </r>
  <r>
    <x v="344"/>
    <x v="1"/>
    <s v="1-FKE8N1 "/>
    <x v="1"/>
    <x v="10"/>
    <x v="3"/>
    <x v="3"/>
    <n v="2504"/>
  </r>
  <r>
    <x v="162"/>
    <x v="0"/>
    <s v="1-IAW97Z "/>
    <x v="0"/>
    <x v="8"/>
    <x v="2"/>
    <x v="3"/>
    <n v="7940"/>
  </r>
  <r>
    <x v="78"/>
    <x v="0"/>
    <s v="1-C1VDC7 "/>
    <x v="0"/>
    <x v="2"/>
    <x v="2"/>
    <x v="1"/>
    <n v="6192"/>
  </r>
  <r>
    <x v="39"/>
    <x v="1"/>
    <s v="1-HZ4EPB "/>
    <x v="0"/>
    <x v="4"/>
    <x v="1"/>
    <x v="0"/>
    <n v="6295"/>
  </r>
  <r>
    <x v="87"/>
    <x v="0"/>
    <s v="1-FZO72X "/>
    <x v="15"/>
    <x v="1"/>
    <x v="1"/>
    <x v="6"/>
    <n v="5676"/>
  </r>
  <r>
    <x v="139"/>
    <x v="1"/>
    <s v="1-GDM4N3 "/>
    <x v="15"/>
    <x v="8"/>
    <x v="0"/>
    <x v="7"/>
    <n v="7398"/>
  </r>
  <r>
    <x v="408"/>
    <x v="0"/>
    <s v="1-ERBDD3 "/>
    <x v="0"/>
    <x v="3"/>
    <x v="3"/>
    <x v="9"/>
    <n v="3662"/>
  </r>
  <r>
    <x v="396"/>
    <x v="1"/>
    <s v="1-H5K1T9 "/>
    <x v="7"/>
    <x v="5"/>
    <x v="2"/>
    <x v="4"/>
    <n v="4369"/>
  </r>
  <r>
    <x v="490"/>
    <x v="0"/>
    <s v="1-GK2D8F "/>
    <x v="0"/>
    <x v="13"/>
    <x v="2"/>
    <x v="6"/>
    <n v="4547"/>
  </r>
  <r>
    <x v="433"/>
    <x v="0"/>
    <s v="1-DWUMR7 "/>
    <x v="0"/>
    <x v="2"/>
    <x v="3"/>
    <x v="3"/>
    <n v="7356"/>
  </r>
  <r>
    <x v="337"/>
    <x v="1"/>
    <s v="1-H09N27 "/>
    <x v="0"/>
    <x v="12"/>
    <x v="2"/>
    <x v="3"/>
    <n v="3133"/>
  </r>
  <r>
    <x v="559"/>
    <x v="1"/>
    <s v="1-ERN5DT "/>
    <x v="0"/>
    <x v="0"/>
    <x v="1"/>
    <x v="7"/>
    <n v="8943"/>
  </r>
  <r>
    <x v="315"/>
    <x v="1"/>
    <s v="1-DR3OXY "/>
    <x v="0"/>
    <x v="0"/>
    <x v="0"/>
    <x v="9"/>
    <n v="4115"/>
  </r>
  <r>
    <x v="251"/>
    <x v="0"/>
    <s v="1-GY5HV1 "/>
    <x v="0"/>
    <x v="2"/>
    <x v="3"/>
    <x v="4"/>
    <n v="4339"/>
  </r>
  <r>
    <x v="560"/>
    <x v="0"/>
    <s v="1-ERN5WF "/>
    <x v="0"/>
    <x v="8"/>
    <x v="0"/>
    <x v="3"/>
    <n v="7912"/>
  </r>
  <r>
    <x v="259"/>
    <x v="1"/>
    <s v="1-H05ZIR "/>
    <x v="0"/>
    <x v="0"/>
    <x v="1"/>
    <x v="3"/>
    <n v="5411"/>
  </r>
  <r>
    <x v="235"/>
    <x v="1"/>
    <s v="1-HKYAJV "/>
    <x v="13"/>
    <x v="2"/>
    <x v="1"/>
    <x v="0"/>
    <n v="7519"/>
  </r>
  <r>
    <x v="381"/>
    <x v="0"/>
    <s v="1-FRPOLR "/>
    <x v="0"/>
    <x v="10"/>
    <x v="2"/>
    <x v="6"/>
    <n v="3777"/>
  </r>
  <r>
    <x v="210"/>
    <x v="0"/>
    <s v="1-ERN58T "/>
    <x v="11"/>
    <x v="13"/>
    <x v="2"/>
    <x v="3"/>
    <n v="2341"/>
  </r>
  <r>
    <x v="182"/>
    <x v="0"/>
    <s v="1-HVN2CB "/>
    <x v="1"/>
    <x v="7"/>
    <x v="2"/>
    <x v="0"/>
    <n v="8180"/>
  </r>
  <r>
    <x v="561"/>
    <x v="1"/>
    <s v="1-HZ6ON5 "/>
    <x v="0"/>
    <x v="1"/>
    <x v="1"/>
    <x v="7"/>
    <n v="7892"/>
  </r>
  <r>
    <x v="562"/>
    <x v="1"/>
    <s v="1-HXJDE5 "/>
    <x v="0"/>
    <x v="6"/>
    <x v="1"/>
    <x v="5"/>
    <n v="6088"/>
  </r>
  <r>
    <x v="434"/>
    <x v="1"/>
    <s v="1-GK2D7D "/>
    <x v="0"/>
    <x v="8"/>
    <x v="2"/>
    <x v="5"/>
    <n v="3081"/>
  </r>
  <r>
    <x v="384"/>
    <x v="0"/>
    <s v="1-FJM49R "/>
    <x v="1"/>
    <x v="7"/>
    <x v="0"/>
    <x v="4"/>
    <n v="8709"/>
  </r>
  <r>
    <x v="367"/>
    <x v="0"/>
    <s v="1-I6A8TZ "/>
    <x v="1"/>
    <x v="2"/>
    <x v="0"/>
    <x v="0"/>
    <n v="1758"/>
  </r>
  <r>
    <x v="272"/>
    <x v="1"/>
    <s v="1-FARLQ7 "/>
    <x v="1"/>
    <x v="0"/>
    <x v="2"/>
    <x v="2"/>
    <n v="5418"/>
  </r>
  <r>
    <x v="0"/>
    <x v="0"/>
    <s v="1-FKW3XX "/>
    <x v="0"/>
    <x v="10"/>
    <x v="2"/>
    <x v="4"/>
    <n v="2054"/>
  </r>
  <r>
    <x v="330"/>
    <x v="0"/>
    <s v="1-FKW3U1 "/>
    <x v="0"/>
    <x v="1"/>
    <x v="3"/>
    <x v="8"/>
    <n v="3140"/>
  </r>
  <r>
    <x v="460"/>
    <x v="0"/>
    <s v="1-ERN5XJ "/>
    <x v="0"/>
    <x v="5"/>
    <x v="3"/>
    <x v="7"/>
    <n v="7740"/>
  </r>
  <r>
    <x v="83"/>
    <x v="0"/>
    <s v="1-F58URL "/>
    <x v="0"/>
    <x v="6"/>
    <x v="0"/>
    <x v="0"/>
    <n v="2715"/>
  </r>
  <r>
    <x v="477"/>
    <x v="1"/>
    <s v="1-ERN5QL "/>
    <x v="24"/>
    <x v="10"/>
    <x v="1"/>
    <x v="7"/>
    <n v="1773"/>
  </r>
  <r>
    <x v="399"/>
    <x v="1"/>
    <s v="1-GHI3YR "/>
    <x v="0"/>
    <x v="7"/>
    <x v="0"/>
    <x v="5"/>
    <n v="3816"/>
  </r>
  <r>
    <x v="488"/>
    <x v="1"/>
    <s v="1-GRUDSR "/>
    <x v="6"/>
    <x v="1"/>
    <x v="2"/>
    <x v="2"/>
    <n v="8502"/>
  </r>
  <r>
    <x v="188"/>
    <x v="0"/>
    <s v="1-G6AC63 "/>
    <x v="1"/>
    <x v="0"/>
    <x v="2"/>
    <x v="5"/>
    <n v="8439"/>
  </r>
  <r>
    <x v="563"/>
    <x v="0"/>
    <s v="1-F1D1YZ "/>
    <x v="17"/>
    <x v="1"/>
    <x v="0"/>
    <x v="9"/>
    <n v="3949"/>
  </r>
  <r>
    <x v="564"/>
    <x v="1"/>
    <s v="1-FKW3XD "/>
    <x v="0"/>
    <x v="4"/>
    <x v="3"/>
    <x v="4"/>
    <n v="7183"/>
  </r>
  <r>
    <x v="316"/>
    <x v="1"/>
    <s v="1-FKW3Z1 "/>
    <x v="0"/>
    <x v="7"/>
    <x v="3"/>
    <x v="7"/>
    <n v="3280"/>
  </r>
  <r>
    <x v="360"/>
    <x v="1"/>
    <s v="1-ERN5GB "/>
    <x v="0"/>
    <x v="13"/>
    <x v="0"/>
    <x v="7"/>
    <n v="6551"/>
  </r>
  <r>
    <x v="216"/>
    <x v="0"/>
    <s v="1-HPRK7Z "/>
    <x v="9"/>
    <x v="4"/>
    <x v="1"/>
    <x v="4"/>
    <n v="1083"/>
  </r>
  <r>
    <x v="560"/>
    <x v="0"/>
    <s v="1-HSTX9P "/>
    <x v="0"/>
    <x v="9"/>
    <x v="3"/>
    <x v="7"/>
    <n v="3815"/>
  </r>
  <r>
    <x v="269"/>
    <x v="1"/>
    <s v="1-GSGP15 "/>
    <x v="0"/>
    <x v="12"/>
    <x v="0"/>
    <x v="8"/>
    <n v="4158"/>
  </r>
  <r>
    <x v="512"/>
    <x v="1"/>
    <s v="1-ERD32H "/>
    <x v="0"/>
    <x v="9"/>
    <x v="1"/>
    <x v="6"/>
    <n v="4454"/>
  </r>
  <r>
    <x v="367"/>
    <x v="0"/>
    <s v="1-ERN5TN "/>
    <x v="0"/>
    <x v="0"/>
    <x v="2"/>
    <x v="0"/>
    <n v="7564"/>
  </r>
  <r>
    <x v="112"/>
    <x v="1"/>
    <s v="1-FRHSXN "/>
    <x v="0"/>
    <x v="5"/>
    <x v="3"/>
    <x v="8"/>
    <n v="6925"/>
  </r>
  <r>
    <x v="273"/>
    <x v="0"/>
    <s v="1-DZM4BB "/>
    <x v="0"/>
    <x v="8"/>
    <x v="3"/>
    <x v="0"/>
    <n v="6378"/>
  </r>
  <r>
    <x v="264"/>
    <x v="0"/>
    <s v="1-ERBD8X "/>
    <x v="1"/>
    <x v="1"/>
    <x v="0"/>
    <x v="7"/>
    <n v="5806"/>
  </r>
  <r>
    <x v="164"/>
    <x v="1"/>
    <s v="1-GMXG4F "/>
    <x v="1"/>
    <x v="8"/>
    <x v="0"/>
    <x v="2"/>
    <n v="7763"/>
  </r>
  <r>
    <x v="565"/>
    <x v="1"/>
    <s v="1-HOU2ET "/>
    <x v="1"/>
    <x v="13"/>
    <x v="1"/>
    <x v="2"/>
    <n v="6693"/>
  </r>
  <r>
    <x v="566"/>
    <x v="0"/>
    <s v="1-ERBDGZ "/>
    <x v="9"/>
    <x v="12"/>
    <x v="0"/>
    <x v="1"/>
    <n v="4893"/>
  </r>
  <r>
    <x v="65"/>
    <x v="0"/>
    <s v="1-GGGZ0X "/>
    <x v="24"/>
    <x v="9"/>
    <x v="1"/>
    <x v="9"/>
    <n v="2219"/>
  </r>
  <r>
    <x v="567"/>
    <x v="1"/>
    <s v="1-FIXZV3 "/>
    <x v="24"/>
    <x v="0"/>
    <x v="2"/>
    <x v="9"/>
    <n v="6983"/>
  </r>
  <r>
    <x v="568"/>
    <x v="1"/>
    <s v="1-I0F0EJ "/>
    <x v="3"/>
    <x v="6"/>
    <x v="0"/>
    <x v="7"/>
    <n v="2335"/>
  </r>
  <r>
    <x v="129"/>
    <x v="0"/>
    <s v="1-I4IC98 "/>
    <x v="2"/>
    <x v="3"/>
    <x v="2"/>
    <x v="0"/>
    <n v="2222"/>
  </r>
  <r>
    <x v="569"/>
    <x v="1"/>
    <s v="1-GMKVEX "/>
    <x v="9"/>
    <x v="8"/>
    <x v="0"/>
    <x v="7"/>
    <n v="5715"/>
  </r>
  <r>
    <x v="164"/>
    <x v="1"/>
    <s v="1-GA64PF "/>
    <x v="21"/>
    <x v="2"/>
    <x v="2"/>
    <x v="9"/>
    <n v="5655"/>
  </r>
  <r>
    <x v="19"/>
    <x v="1"/>
    <s v="1-ERD2WX "/>
    <x v="4"/>
    <x v="10"/>
    <x v="3"/>
    <x v="1"/>
    <n v="2099"/>
  </r>
  <r>
    <x v="570"/>
    <x v="0"/>
    <s v="1-GCLKT8 "/>
    <x v="1"/>
    <x v="4"/>
    <x v="1"/>
    <x v="3"/>
    <n v="7511"/>
  </r>
  <r>
    <x v="389"/>
    <x v="1"/>
    <s v="1-I29WKP "/>
    <x v="22"/>
    <x v="9"/>
    <x v="1"/>
    <x v="6"/>
    <n v="3619"/>
  </r>
  <r>
    <x v="344"/>
    <x v="1"/>
    <s v="1-HY1VI8 "/>
    <x v="14"/>
    <x v="8"/>
    <x v="0"/>
    <x v="8"/>
    <n v="2441"/>
  </r>
  <r>
    <x v="127"/>
    <x v="1"/>
    <s v="1-GY5G8R "/>
    <x v="15"/>
    <x v="9"/>
    <x v="3"/>
    <x v="5"/>
    <n v="6890"/>
  </r>
  <r>
    <x v="327"/>
    <x v="1"/>
    <s v="1-FNIEZV "/>
    <x v="1"/>
    <x v="13"/>
    <x v="0"/>
    <x v="4"/>
    <n v="5409"/>
  </r>
  <r>
    <x v="571"/>
    <x v="1"/>
    <s v="1-FKGY9K "/>
    <x v="4"/>
    <x v="12"/>
    <x v="2"/>
    <x v="4"/>
    <n v="8799"/>
  </r>
  <r>
    <x v="474"/>
    <x v="0"/>
    <s v="1-FIXZUF "/>
    <x v="1"/>
    <x v="12"/>
    <x v="0"/>
    <x v="3"/>
    <n v="4966"/>
  </r>
  <r>
    <x v="467"/>
    <x v="1"/>
    <s v="1-GTSNZP "/>
    <x v="1"/>
    <x v="4"/>
    <x v="0"/>
    <x v="9"/>
    <n v="1211"/>
  </r>
  <r>
    <x v="460"/>
    <x v="0"/>
    <s v="1-FJS4M6 "/>
    <x v="1"/>
    <x v="8"/>
    <x v="2"/>
    <x v="3"/>
    <n v="5147"/>
  </r>
  <r>
    <x v="572"/>
    <x v="0"/>
    <s v="1-ERBDHJ "/>
    <x v="25"/>
    <x v="0"/>
    <x v="1"/>
    <x v="7"/>
    <n v="4980"/>
  </r>
  <r>
    <x v="573"/>
    <x v="0"/>
    <s v="1-G0XF6B "/>
    <x v="7"/>
    <x v="1"/>
    <x v="2"/>
    <x v="9"/>
    <n v="3876"/>
  </r>
  <r>
    <x v="303"/>
    <x v="1"/>
    <s v="1-GDEOLX "/>
    <x v="8"/>
    <x v="1"/>
    <x v="3"/>
    <x v="7"/>
    <n v="5927"/>
  </r>
  <r>
    <x v="574"/>
    <x v="0"/>
    <s v="1-FJS4MY "/>
    <x v="1"/>
    <x v="12"/>
    <x v="0"/>
    <x v="5"/>
    <n v="6307"/>
  </r>
  <r>
    <x v="63"/>
    <x v="1"/>
    <s v="1-FRPOJ1 "/>
    <x v="1"/>
    <x v="4"/>
    <x v="3"/>
    <x v="7"/>
    <n v="6634"/>
  </r>
  <r>
    <x v="516"/>
    <x v="0"/>
    <s v="1-FDONA3 "/>
    <x v="8"/>
    <x v="0"/>
    <x v="2"/>
    <x v="8"/>
    <n v="7008"/>
  </r>
  <r>
    <x v="304"/>
    <x v="0"/>
    <s v="1-ERN6T7 "/>
    <x v="6"/>
    <x v="5"/>
    <x v="0"/>
    <x v="6"/>
    <n v="1794"/>
  </r>
  <r>
    <x v="183"/>
    <x v="0"/>
    <s v="1-GJYYV5 "/>
    <x v="2"/>
    <x v="8"/>
    <x v="0"/>
    <x v="6"/>
    <n v="7939"/>
  </r>
  <r>
    <x v="519"/>
    <x v="0"/>
    <s v="1-FARLQF "/>
    <x v="10"/>
    <x v="5"/>
    <x v="3"/>
    <x v="8"/>
    <n v="6172"/>
  </r>
  <r>
    <x v="439"/>
    <x v="0"/>
    <s v="1-GNTWZL "/>
    <x v="19"/>
    <x v="0"/>
    <x v="0"/>
    <x v="5"/>
    <n v="5369"/>
  </r>
  <r>
    <x v="133"/>
    <x v="1"/>
    <s v="1-GDGVB9 "/>
    <x v="16"/>
    <x v="7"/>
    <x v="3"/>
    <x v="5"/>
    <n v="7337"/>
  </r>
  <r>
    <x v="202"/>
    <x v="0"/>
    <s v="1-FLYVMU "/>
    <x v="1"/>
    <x v="8"/>
    <x v="0"/>
    <x v="1"/>
    <n v="1086"/>
  </r>
  <r>
    <x v="575"/>
    <x v="0"/>
    <s v="1-GJE37Y "/>
    <x v="1"/>
    <x v="11"/>
    <x v="0"/>
    <x v="2"/>
    <n v="1935"/>
  </r>
  <r>
    <x v="213"/>
    <x v="0"/>
    <s v="1-FZO74R "/>
    <x v="25"/>
    <x v="7"/>
    <x v="2"/>
    <x v="3"/>
    <n v="7260"/>
  </r>
  <r>
    <x v="546"/>
    <x v="0"/>
    <s v="1-HY2DZF "/>
    <x v="4"/>
    <x v="10"/>
    <x v="2"/>
    <x v="3"/>
    <n v="5436"/>
  </r>
  <r>
    <x v="403"/>
    <x v="0"/>
    <s v="1-FIXZU7 "/>
    <x v="1"/>
    <x v="12"/>
    <x v="0"/>
    <x v="0"/>
    <n v="2542"/>
  </r>
  <r>
    <x v="358"/>
    <x v="0"/>
    <s v="1-FK3DW3 "/>
    <x v="5"/>
    <x v="6"/>
    <x v="1"/>
    <x v="9"/>
    <n v="24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80389D-971B-4E25-95C5-8EF0249136AC}" name="Top 5 Countri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8" firstHeaderRow="1" firstDataRow="1" firstDataCol="1"/>
  <pivotFields count="10">
    <pivotField numFmtId="15" subtotalTop="0" showAll="0">
      <items count="15">
        <item x="0"/>
        <item x="1"/>
        <item x="2"/>
        <item x="3"/>
        <item x="4"/>
        <item x="5"/>
        <item x="6"/>
        <item x="7"/>
        <item x="8"/>
        <item x="9"/>
        <item x="10"/>
        <item x="11"/>
        <item x="12"/>
        <item x="13"/>
        <item t="default"/>
      </items>
    </pivotField>
    <pivotField subtotalTop="0" showAll="0">
      <items count="3">
        <item x="1"/>
        <item x="0"/>
        <item t="default"/>
      </items>
    </pivotField>
    <pivotField subtotalTop="0" showAll="0"/>
    <pivotField axis="axisRow" subtotalTop="0" showAll="0" measureFilter="1" sortType="ascending">
      <items count="27">
        <item x="9"/>
        <item x="24"/>
        <item x="8"/>
        <item x="4"/>
        <item x="14"/>
        <item x="18"/>
        <item x="21"/>
        <item x="25"/>
        <item x="16"/>
        <item x="15"/>
        <item x="19"/>
        <item x="3"/>
        <item x="22"/>
        <item x="20"/>
        <item x="17"/>
        <item x="12"/>
        <item x="23"/>
        <item x="11"/>
        <item x="7"/>
        <item x="13"/>
        <item x="10"/>
        <item x="5"/>
        <item x="6"/>
        <item x="2"/>
        <item x="0"/>
        <item x="1"/>
        <item t="default"/>
      </items>
    </pivotField>
    <pivotField subtotalTop="0" showAll="0">
      <items count="15">
        <item x="9"/>
        <item x="6"/>
        <item x="7"/>
        <item x="1"/>
        <item x="13"/>
        <item x="4"/>
        <item x="10"/>
        <item x="0"/>
        <item x="12"/>
        <item x="3"/>
        <item x="2"/>
        <item x="11"/>
        <item x="8"/>
        <item x="5"/>
        <item t="default"/>
      </items>
    </pivotField>
    <pivotField subtotalTop="0" showAll="0">
      <items count="5">
        <item x="0"/>
        <item x="3"/>
        <item x="2"/>
        <item x="1"/>
        <item t="default"/>
      </items>
    </pivotField>
    <pivotField subtotalTop="0" showAll="0">
      <items count="11">
        <item x="7"/>
        <item x="0"/>
        <item x="3"/>
        <item x="2"/>
        <item x="8"/>
        <item x="1"/>
        <item x="4"/>
        <item x="5"/>
        <item x="9"/>
        <item x="6"/>
        <item t="default"/>
      </items>
    </pivotField>
    <pivotField dataField="1" subtotalTop="0" showAll="0"/>
    <pivotField subtotalTop="0" showAll="0">
      <items count="7">
        <item x="0"/>
        <item x="1"/>
        <item x="2"/>
        <item x="3"/>
        <item x="4"/>
        <item x="5"/>
        <item t="default"/>
      </items>
    </pivotField>
    <pivotField subtotalTop="0" showAll="0">
      <items count="5">
        <item x="0"/>
        <item x="1"/>
        <item x="2"/>
        <item x="3"/>
        <item t="default"/>
      </items>
    </pivotField>
  </pivotFields>
  <rowFields count="1">
    <field x="3"/>
  </rowFields>
  <rowItems count="5">
    <i>
      <x v="2"/>
    </i>
    <i>
      <x v="3"/>
    </i>
    <i>
      <x v="15"/>
    </i>
    <i>
      <x v="24"/>
    </i>
    <i>
      <x v="25"/>
    </i>
  </rowItems>
  <colItems count="1">
    <i/>
  </colItems>
  <dataFields count="1">
    <dataField name="Sum of Fees" fld="7" baseField="0" baseItem="0"/>
  </dataFields>
  <pivotTableStyleInfo name="PivotStyleLight20"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369AF5-6FC1-4090-A70D-1CC24197AD53}" name="Top 3 Manag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8" firstHeaderRow="1" firstDataRow="1" firstDataCol="1"/>
  <pivotFields count="10">
    <pivotField numFmtId="15" subtotalTop="0" showAll="0">
      <items count="15">
        <item x="0"/>
        <item x="1"/>
        <item x="2"/>
        <item x="3"/>
        <item x="4"/>
        <item x="5"/>
        <item x="6"/>
        <item x="7"/>
        <item x="8"/>
        <item x="9"/>
        <item x="10"/>
        <item x="11"/>
        <item x="12"/>
        <item x="13"/>
        <item t="default"/>
      </items>
    </pivotField>
    <pivotField subtotalTop="0" showAll="0">
      <items count="3">
        <item x="1"/>
        <item x="0"/>
        <item t="default"/>
      </items>
    </pivotField>
    <pivotField subtotalTop="0" showAll="0"/>
    <pivotField subtotalTop="0" showAll="0" sortType="ascending">
      <items count="27">
        <item x="9"/>
        <item x="24"/>
        <item x="8"/>
        <item x="4"/>
        <item x="14"/>
        <item x="18"/>
        <item x="21"/>
        <item x="25"/>
        <item x="16"/>
        <item x="15"/>
        <item x="19"/>
        <item x="3"/>
        <item x="22"/>
        <item x="20"/>
        <item x="17"/>
        <item x="12"/>
        <item x="23"/>
        <item x="11"/>
        <item x="7"/>
        <item x="13"/>
        <item x="10"/>
        <item x="5"/>
        <item x="6"/>
        <item x="2"/>
        <item x="0"/>
        <item x="1"/>
        <item t="default"/>
      </items>
    </pivotField>
    <pivotField axis="axisRow" subtotalTop="0" showAll="0" measureFilter="1">
      <items count="15">
        <item x="9"/>
        <item x="6"/>
        <item x="7"/>
        <item x="1"/>
        <item x="13"/>
        <item x="4"/>
        <item x="10"/>
        <item x="0"/>
        <item x="12"/>
        <item x="3"/>
        <item x="2"/>
        <item x="11"/>
        <item x="8"/>
        <item x="5"/>
        <item t="default"/>
      </items>
    </pivotField>
    <pivotField subtotalTop="0" showAll="0">
      <items count="5">
        <item x="0"/>
        <item x="3"/>
        <item x="2"/>
        <item x="1"/>
        <item t="default"/>
      </items>
    </pivotField>
    <pivotField subtotalTop="0" showAll="0">
      <items count="11">
        <item x="7"/>
        <item x="0"/>
        <item x="3"/>
        <item x="2"/>
        <item x="8"/>
        <item x="1"/>
        <item x="4"/>
        <item x="5"/>
        <item x="9"/>
        <item x="6"/>
        <item t="default"/>
      </items>
    </pivotField>
    <pivotField dataField="1" subtotalTop="0" showAll="0"/>
    <pivotField subtotalTop="0" showAll="0">
      <items count="7">
        <item x="0"/>
        <item x="1"/>
        <item x="2"/>
        <item x="3"/>
        <item x="4"/>
        <item x="5"/>
        <item t="default"/>
      </items>
    </pivotField>
    <pivotField subtotalTop="0" showAll="0">
      <items count="5">
        <item x="0"/>
        <item x="1"/>
        <item x="2"/>
        <item x="3"/>
        <item t="default"/>
      </items>
    </pivotField>
  </pivotFields>
  <rowFields count="1">
    <field x="4"/>
  </rowFields>
  <rowItems count="4">
    <i>
      <x v="3"/>
    </i>
    <i>
      <x v="7"/>
    </i>
    <i>
      <x v="12"/>
    </i>
    <i t="grand">
      <x/>
    </i>
  </rowItems>
  <colItems count="1">
    <i/>
  </colItems>
  <dataFields count="1">
    <dataField name="Sum of Fees" fld="7"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3"/>
          </reference>
        </references>
      </pivotArea>
    </chartFormat>
    <chartFormat chart="4" format="10">
      <pivotArea type="data" outline="0" fieldPosition="0">
        <references count="2">
          <reference field="4294967294" count="1" selected="0">
            <x v="0"/>
          </reference>
          <reference field="4" count="1" selected="0">
            <x v="7"/>
          </reference>
        </references>
      </pivotArea>
    </chartFormat>
    <chartFormat chart="4" format="11">
      <pivotArea type="data" outline="0" fieldPosition="0">
        <references count="2">
          <reference field="4294967294" count="1" selected="0">
            <x v="0"/>
          </reference>
          <reference field="4" count="1" selected="0">
            <x v="12"/>
          </reference>
        </references>
      </pivotArea>
    </chartFormat>
  </chartFormats>
  <pivotTableStyleInfo name="PivotStyleLight20"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ED6A83-8CB0-411D-8555-34991E5CD9F6}" name="Cargo Analys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0">
    <pivotField numFmtId="15" subtotalTop="0" showAll="0">
      <items count="15">
        <item x="0"/>
        <item x="1"/>
        <item x="2"/>
        <item x="3"/>
        <item x="4"/>
        <item x="5"/>
        <item x="6"/>
        <item x="7"/>
        <item x="8"/>
        <item x="9"/>
        <item x="10"/>
        <item x="11"/>
        <item x="12"/>
        <item x="13"/>
        <item t="default"/>
      </items>
    </pivotField>
    <pivotField subtotalTop="0" showAll="0">
      <items count="3">
        <item x="1"/>
        <item x="0"/>
        <item t="default"/>
      </items>
    </pivotField>
    <pivotField subtotalTop="0" showAll="0"/>
    <pivotField subtotalTop="0" showAll="0" sortType="ascending">
      <items count="27">
        <item x="9"/>
        <item x="24"/>
        <item x="8"/>
        <item x="4"/>
        <item x="14"/>
        <item x="18"/>
        <item x="21"/>
        <item x="25"/>
        <item x="16"/>
        <item x="15"/>
        <item x="19"/>
        <item x="3"/>
        <item x="22"/>
        <item x="20"/>
        <item x="17"/>
        <item x="12"/>
        <item x="23"/>
        <item x="11"/>
        <item x="7"/>
        <item x="13"/>
        <item x="10"/>
        <item x="5"/>
        <item x="6"/>
        <item x="2"/>
        <item x="0"/>
        <item x="1"/>
        <item t="default"/>
      </items>
    </pivotField>
    <pivotField subtotalTop="0" showAll="0" measureFilter="1">
      <items count="15">
        <item x="9"/>
        <item x="6"/>
        <item x="7"/>
        <item x="1"/>
        <item x="13"/>
        <item x="4"/>
        <item x="10"/>
        <item x="0"/>
        <item x="12"/>
        <item x="3"/>
        <item x="2"/>
        <item x="11"/>
        <item x="8"/>
        <item x="5"/>
        <item t="default"/>
      </items>
    </pivotField>
    <pivotField axis="axisRow" subtotalTop="0" showAll="0">
      <items count="5">
        <item x="0"/>
        <item x="3"/>
        <item x="2"/>
        <item x="1"/>
        <item t="default"/>
      </items>
    </pivotField>
    <pivotField subtotalTop="0" showAll="0">
      <items count="11">
        <item x="7"/>
        <item x="0"/>
        <item x="3"/>
        <item x="2"/>
        <item x="8"/>
        <item x="1"/>
        <item x="4"/>
        <item x="5"/>
        <item x="9"/>
        <item x="6"/>
        <item t="default"/>
      </items>
    </pivotField>
    <pivotField dataField="1" subtotalTop="0" showAll="0"/>
    <pivotField subtotalTop="0" showAll="0">
      <items count="7">
        <item x="0"/>
        <item x="1"/>
        <item x="2"/>
        <item x="3"/>
        <item x="4"/>
        <item x="5"/>
        <item t="default"/>
      </items>
    </pivotField>
    <pivotField subtotalTop="0" showAll="0">
      <items count="5">
        <item x="0"/>
        <item x="1"/>
        <item x="2"/>
        <item x="3"/>
        <item t="default"/>
      </items>
    </pivotField>
  </pivotFields>
  <rowFields count="1">
    <field x="5"/>
  </rowFields>
  <rowItems count="5">
    <i>
      <x/>
    </i>
    <i>
      <x v="1"/>
    </i>
    <i>
      <x v="2"/>
    </i>
    <i>
      <x v="3"/>
    </i>
    <i t="grand">
      <x/>
    </i>
  </rowItems>
  <colItems count="1">
    <i/>
  </colItems>
  <dataFields count="1">
    <dataField name="Sum of Fees"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B25D1D-1A40-49E9-9E92-45E03151FA36}" name="Port analys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0">
    <pivotField numFmtId="15" subtotalTop="0" showAll="0">
      <items count="15">
        <item x="0"/>
        <item x="1"/>
        <item x="2"/>
        <item x="3"/>
        <item x="4"/>
        <item x="5"/>
        <item x="6"/>
        <item x="7"/>
        <item x="8"/>
        <item x="9"/>
        <item x="10"/>
        <item x="11"/>
        <item x="12"/>
        <item x="13"/>
        <item t="default"/>
      </items>
    </pivotField>
    <pivotField subtotalTop="0" showAll="0">
      <items count="3">
        <item x="1"/>
        <item x="0"/>
        <item t="default"/>
      </items>
    </pivotField>
    <pivotField subtotalTop="0" showAll="0"/>
    <pivotField subtotalTop="0" showAll="0" sortType="ascending">
      <items count="27">
        <item x="9"/>
        <item x="24"/>
        <item x="8"/>
        <item x="4"/>
        <item x="14"/>
        <item x="18"/>
        <item x="21"/>
        <item x="25"/>
        <item x="16"/>
        <item x="15"/>
        <item x="19"/>
        <item x="3"/>
        <item x="22"/>
        <item x="20"/>
        <item x="17"/>
        <item x="12"/>
        <item x="23"/>
        <item x="11"/>
        <item x="7"/>
        <item x="13"/>
        <item x="10"/>
        <item x="5"/>
        <item x="6"/>
        <item x="2"/>
        <item x="0"/>
        <item x="1"/>
        <item t="default"/>
      </items>
    </pivotField>
    <pivotField subtotalTop="0" showAll="0" measureFilter="1">
      <items count="15">
        <item x="9"/>
        <item x="6"/>
        <item x="7"/>
        <item x="1"/>
        <item x="13"/>
        <item x="4"/>
        <item x="10"/>
        <item x="0"/>
        <item x="12"/>
        <item x="3"/>
        <item x="2"/>
        <item x="11"/>
        <item x="8"/>
        <item x="5"/>
        <item t="default"/>
      </items>
    </pivotField>
    <pivotField subtotalTop="0" showAll="0">
      <items count="5">
        <item x="0"/>
        <item x="3"/>
        <item x="2"/>
        <item x="1"/>
        <item t="default"/>
      </items>
    </pivotField>
    <pivotField axis="axisRow" subtotalTop="0" showAll="0" sortType="ascending">
      <items count="11">
        <item x="7"/>
        <item x="0"/>
        <item x="3"/>
        <item x="2"/>
        <item x="8"/>
        <item x="1"/>
        <item x="4"/>
        <item x="5"/>
        <item x="9"/>
        <item x="6"/>
        <item t="default"/>
      </items>
      <autoSortScope>
        <pivotArea dataOnly="0" outline="0" fieldPosition="0">
          <references count="1">
            <reference field="4294967294" count="1" selected="0">
              <x v="0"/>
            </reference>
          </references>
        </pivotArea>
      </autoSortScope>
    </pivotField>
    <pivotField dataField="1" subtotalTop="0" showAll="0"/>
    <pivotField subtotalTop="0" showAll="0">
      <items count="7">
        <item x="0"/>
        <item x="1"/>
        <item x="2"/>
        <item x="3"/>
        <item x="4"/>
        <item x="5"/>
        <item t="default"/>
      </items>
    </pivotField>
    <pivotField subtotalTop="0" showAll="0">
      <items count="5">
        <item x="0"/>
        <item x="1"/>
        <item x="2"/>
        <item x="3"/>
        <item t="default"/>
      </items>
    </pivotField>
  </pivotFields>
  <rowFields count="1">
    <field x="6"/>
  </rowFields>
  <rowItems count="11">
    <i>
      <x v="6"/>
    </i>
    <i>
      <x v="4"/>
    </i>
    <i>
      <x v="5"/>
    </i>
    <i>
      <x v="7"/>
    </i>
    <i>
      <x v="9"/>
    </i>
    <i>
      <x v="1"/>
    </i>
    <i>
      <x v="8"/>
    </i>
    <i>
      <x v="2"/>
    </i>
    <i>
      <x/>
    </i>
    <i>
      <x v="3"/>
    </i>
    <i t="grand">
      <x/>
    </i>
  </rowItems>
  <colItems count="1">
    <i/>
  </colItems>
  <dataFields count="1">
    <dataField name="Sum of Fees" fld="7"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D203EC-B64F-4DD6-9565-C1460EDD9337}" name="month 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rowPageCount="1" colPageCount="1"/>
  <pivotFields count="10">
    <pivotField axis="axisRow" numFmtId="15" subtotalTop="0" showAll="0">
      <items count="15">
        <item x="0"/>
        <item x="1"/>
        <item x="2"/>
        <item x="3"/>
        <item x="4"/>
        <item x="5"/>
        <item x="6"/>
        <item x="7"/>
        <item x="8"/>
        <item x="9"/>
        <item x="10"/>
        <item x="11"/>
        <item x="12"/>
        <item x="13"/>
        <item t="default"/>
      </items>
    </pivotField>
    <pivotField axis="axisPage" subtotalTop="0" showAll="0">
      <items count="3">
        <item x="1"/>
        <item x="0"/>
        <item t="default"/>
      </items>
    </pivotField>
    <pivotField subtotalTop="0" showAll="0"/>
    <pivotField subtotalTop="0" showAll="0" sortType="ascending">
      <items count="27">
        <item x="9"/>
        <item x="24"/>
        <item x="8"/>
        <item x="4"/>
        <item x="14"/>
        <item x="18"/>
        <item x="21"/>
        <item x="25"/>
        <item x="16"/>
        <item x="15"/>
        <item x="19"/>
        <item x="3"/>
        <item x="22"/>
        <item x="20"/>
        <item x="17"/>
        <item x="12"/>
        <item x="23"/>
        <item x="11"/>
        <item x="7"/>
        <item x="13"/>
        <item x="10"/>
        <item x="5"/>
        <item x="6"/>
        <item x="2"/>
        <item x="0"/>
        <item x="1"/>
        <item t="default"/>
      </items>
    </pivotField>
    <pivotField subtotalTop="0" showAll="0" measureFilter="1">
      <items count="15">
        <item x="9"/>
        <item x="6"/>
        <item x="7"/>
        <item x="1"/>
        <item x="13"/>
        <item x="4"/>
        <item x="10"/>
        <item x="0"/>
        <item x="12"/>
        <item x="3"/>
        <item x="2"/>
        <item x="11"/>
        <item x="8"/>
        <item x="5"/>
        <item t="default"/>
      </items>
    </pivotField>
    <pivotField subtotalTop="0" showAll="0">
      <items count="5">
        <item x="0"/>
        <item x="3"/>
        <item x="2"/>
        <item x="1"/>
        <item t="default"/>
      </items>
    </pivotField>
    <pivotField subtotalTop="0" showAll="0">
      <items count="11">
        <item x="7"/>
        <item x="0"/>
        <item x="3"/>
        <item x="2"/>
        <item x="8"/>
        <item x="1"/>
        <item x="4"/>
        <item x="5"/>
        <item x="9"/>
        <item x="6"/>
        <item t="default"/>
      </items>
    </pivotField>
    <pivotField dataField="1" subtotalTop="0" showAll="0"/>
    <pivotField subtotalTop="0" showAll="0">
      <items count="7">
        <item sd="0" x="0"/>
        <item sd="0" x="1"/>
        <item sd="0" x="2"/>
        <item sd="0" x="3"/>
        <item sd="0" x="4"/>
        <item sd="0" x="5"/>
        <item t="default"/>
      </items>
    </pivotField>
    <pivotField subtotalTop="0" showAll="0">
      <items count="5">
        <item sd="0" x="0"/>
        <item sd="0" x="1"/>
        <item sd="0" x="2"/>
        <item sd="0" x="3"/>
        <item t="default"/>
      </items>
    </pivotField>
  </pivotFields>
  <rowFields count="1">
    <field x="0"/>
  </rowFields>
  <rowItems count="13">
    <i>
      <x v="1"/>
    </i>
    <i>
      <x v="2"/>
    </i>
    <i>
      <x v="3"/>
    </i>
    <i>
      <x v="4"/>
    </i>
    <i>
      <x v="5"/>
    </i>
    <i>
      <x v="6"/>
    </i>
    <i>
      <x v="7"/>
    </i>
    <i>
      <x v="8"/>
    </i>
    <i>
      <x v="9"/>
    </i>
    <i>
      <x v="10"/>
    </i>
    <i>
      <x v="11"/>
    </i>
    <i>
      <x v="12"/>
    </i>
    <i t="grand">
      <x/>
    </i>
  </rowItems>
  <colItems count="1">
    <i/>
  </colItems>
  <pageFields count="1">
    <pageField fld="1" hier="-1"/>
  </pageFields>
  <dataFields count="1">
    <dataField name="Sum of Fees"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Year" xr10:uid="{B22E243F-D86B-4988-809C-EF9C43F20C11}" sourceName="Financial Year">
  <pivotTables>
    <pivotTable tabId="83" name="Top 5 Countries"/>
  </pivotTables>
  <data>
    <tabular pivotCacheId="66789668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B99E132-ED15-4F06-8054-FE8C525AD0AA}" sourceName="Country">
  <pivotTables>
    <pivotTable tabId="83" name="Top 5 Countries"/>
  </pivotTables>
  <data>
    <tabular pivotCacheId="667896685">
      <items count="26">
        <i x="9" s="1"/>
        <i x="24" s="1"/>
        <i x="8" s="1"/>
        <i x="4" s="1"/>
        <i x="14" s="1"/>
        <i x="18" s="1"/>
        <i x="21" s="1"/>
        <i x="25" s="1"/>
        <i x="16" s="1"/>
        <i x="15" s="1"/>
        <i x="19" s="1"/>
        <i x="3" s="1"/>
        <i x="22" s="1"/>
        <i x="20" s="1"/>
        <i x="17" s="1"/>
        <i x="12" s="1"/>
        <i x="23" s="1"/>
        <i x="11" s="1"/>
        <i x="7" s="1"/>
        <i x="13" s="1"/>
        <i x="10" s="1"/>
        <i x="5" s="1"/>
        <i x="6"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rt_Name" xr10:uid="{12731957-D938-4156-88E5-D0C4FF76CBCB}" sourceName="Port Name">
  <pivotTables>
    <pivotTable tabId="83" name="Top 5 Countries"/>
  </pivotTables>
  <data>
    <tabular pivotCacheId="667896685">
      <items count="10">
        <i x="7" s="1"/>
        <i x="0" s="1"/>
        <i x="3" s="1"/>
        <i x="2" s="1"/>
        <i x="8" s="1"/>
        <i x="1" s="1"/>
        <i x="4" s="1"/>
        <i x="5" s="1"/>
        <i x="9"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Manager" xr10:uid="{5D124E7E-8C2D-4D1F-845A-6859F5DEFC9F}" sourceName="Account Manager">
  <pivotTables>
    <pivotTable tabId="83" name="Top 5 Countries"/>
  </pivotTables>
  <data>
    <tabular pivotCacheId="667896685">
      <items count="14">
        <i x="9" s="1"/>
        <i x="6" s="1"/>
        <i x="7" s="1"/>
        <i x="1" s="1"/>
        <i x="13" s="1"/>
        <i x="4" s="1"/>
        <i x="10" s="1"/>
        <i x="0" s="1"/>
        <i x="12" s="1"/>
        <i x="3" s="1"/>
        <i x="2" s="1"/>
        <i x="11" s="1"/>
        <i x="8"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go_Type" xr10:uid="{B8E4F947-34DA-4900-9A9E-7413F126DE93}" sourceName="Cargo Type">
  <pivotTables>
    <pivotTable tabId="83" name="Top 5 Countries"/>
  </pivotTables>
  <data>
    <tabular pivotCacheId="667896685">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ncial Year" xr10:uid="{EA708255-61F6-41EB-93BA-F8303289A67A}" cache="Slicer_Financial_Year" caption="Financial Year" rowHeight="241300"/>
  <slicer name="Country" xr10:uid="{55DFE942-EE60-49AB-9BB4-398E5EF952B6}" cache="Slicer_Country" caption="Country" rowHeight="241300"/>
  <slicer name="Port Name" xr10:uid="{B94CE991-F625-47B0-BD43-2BE2FEB93D25}" cache="Slicer_Port_Name" caption="Port Name" rowHeight="241300"/>
  <slicer name="Account Manager" xr10:uid="{CBC26758-1CEB-4669-8255-05431170ADDF}" cache="Slicer_Account_Manager" caption="Account Manager" rowHeight="241300"/>
  <slicer name="Cargo Type" xr10:uid="{9546E388-FC04-44AF-83A8-B967A03D5EC6}" cache="Slicer_Cargo_Type" caption="Cargo 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AD3A02-8E34-4503-AEE0-9BE4DF45FC92}" name="HRData" displayName="HRData" ref="C12:K47" totalsRowShown="0" headerRowDxfId="62" headerRowBorderDxfId="61" tableBorderDxfId="60" totalsRowBorderDxfId="59">
  <autoFilter ref="C12:K47" xr:uid="{4AAD3A02-8E34-4503-AEE0-9BE4DF45FC92}"/>
  <tableColumns count="9">
    <tableColumn id="1" xr3:uid="{31996452-848D-424A-B6D3-E736925231BE}" name="Staff ID" dataDxfId="58"/>
    <tableColumn id="2" xr3:uid="{BDE4895F-772F-45A2-A0F8-80841F17E4A9}" name="Date Employed" dataDxfId="57"/>
    <tableColumn id="3" xr3:uid="{FD685FED-FA95-4AA5-8236-E1E37FF33018}" name="Employee Name" dataDxfId="56"/>
    <tableColumn id="4" xr3:uid="{7B580E5A-DED1-4C2B-888F-BC87A37FC47D}" name="Department" dataDxfId="55"/>
    <tableColumn id="5" xr3:uid="{52BA5879-F104-47A1-8614-38B6C668F82B}" name="Years in Service" dataDxfId="54"/>
    <tableColumn id="6" xr3:uid="{E914484C-ACEF-4829-9259-F5E7DC50B5F3}" name="Employment Type" dataDxfId="53" dataCellStyle="Comma"/>
    <tableColumn id="7" xr3:uid="{08EF85B4-C119-459B-A4E5-73A48B4DCE88}" name="Job Rating" dataDxfId="52"/>
    <tableColumn id="8" xr3:uid="{1E6DBA53-EC59-4E92-8077-C968CD1E5557}" name="Salary" dataDxfId="51"/>
    <tableColumn id="9" xr3:uid="{65353DAB-E9DA-425B-B6BF-5B171140AC27}" name="Bonus" dataDxfId="50">
      <calculatedColumnFormula>HRData[[#This Row],[Salary]]*$H$9</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381DDE-DBF3-4D88-9C86-6ACC5F59B316}" name="Lookup" displayName="Lookup" ref="C11:M46" totalsRowShown="0" headerRowDxfId="49" headerRowBorderDxfId="48" tableBorderDxfId="47" totalsRowBorderDxfId="46" headerRowCellStyle="Percent 3">
  <autoFilter ref="C11:M46" xr:uid="{A0381DDE-DBF3-4D88-9C86-6ACC5F59B316}"/>
  <tableColumns count="11">
    <tableColumn id="1" xr3:uid="{4B1A33FF-1B4F-4079-856C-B7537875C397}" name="Staff ID" dataDxfId="45"/>
    <tableColumn id="2" xr3:uid="{8B71A899-2892-49F2-872C-712D2F5D3BE1}" name="Date Employed" dataDxfId="44"/>
    <tableColumn id="3" xr3:uid="{D29A9B0F-387C-4E46-8EC3-101D4607CF55}" name="Employee Name" dataDxfId="43"/>
    <tableColumn id="4" xr3:uid="{A9B4CB47-4D44-4A17-90E1-1F4EB4CB7D5B}" name="Department" dataDxfId="42"/>
    <tableColumn id="5" xr3:uid="{ADABF56F-F647-45F7-A189-42C5B178790C}" name="Years in Service" dataDxfId="41"/>
    <tableColumn id="6" xr3:uid="{3F05AE39-E4A9-45A6-B886-DC981F8A830F}" name="Employment Type" dataDxfId="40"/>
    <tableColumn id="7" xr3:uid="{AEFA19F3-F076-4020-ACF5-2B6F3A3CFCDE}" name="Job Rating" dataDxfId="39"/>
    <tableColumn id="8" xr3:uid="{5E13B2C0-B7EA-4AE7-82FB-05E3F4289B0D}" name="Salary" dataDxfId="38" dataCellStyle="Comma"/>
    <tableColumn id="9" xr3:uid="{81F6BA09-382E-47C0-8263-78C81B35F58C}" name="Bonus: Vlookup" dataDxfId="37" dataCellStyle="Comma">
      <calculatedColumnFormula>VLOOKUP(Lookup[[#This Row],[Salary]],P$41:Q$46,2,TRUE)</calculatedColumnFormula>
    </tableColumn>
    <tableColumn id="10" xr3:uid="{BEDB3680-2FEC-4775-83A4-A1432EF2C1D3}" name="Bonus: Index-Match" dataDxfId="36" dataCellStyle="Comma">
      <calculatedColumnFormula>INDEX(Q$41:Q$46,MATCH(Lookup[[#This Row],[Salary]],P$41:P$46,1))</calculatedColumnFormula>
    </tableColumn>
    <tableColumn id="11" xr3:uid="{8372F4AE-74D0-4076-A8FD-B8A995A8E48A}" name="Bonus: Xlookup" dataDxfId="35" dataCellStyle="Comma">
      <calculatedColumnFormula>_xlfn.XLOOKUP(Lookup[[#This Row],[Salary]],P$41:P$46,Q$41:Q$46,,-1)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049CAB6-462F-4E6D-8092-025A1E909662}" name="Table5" displayName="Table5" ref="F8:M1206" totalsRowShown="0">
  <autoFilter ref="F8:M1206" xr:uid="{2049CAB6-462F-4E6D-8092-025A1E909662}"/>
  <tableColumns count="8">
    <tableColumn id="1" xr3:uid="{C2E1CB5A-B2F8-4B30-9183-49CB9B1966A9}" name="Date" dataDxfId="27"/>
    <tableColumn id="2" xr3:uid="{F5A75BF2-3E29-4F39-995A-5A2F3AB9C5BA}" name="Financial Year">
      <calculatedColumnFormula>YEAR(F9)</calculatedColumnFormula>
    </tableColumn>
    <tableColumn id="3" xr3:uid="{9A64EED2-027A-488E-8389-D52ED5598A2A}" name="Shipping ID"/>
    <tableColumn id="4" xr3:uid="{EDF02BCB-C906-4CC1-B64F-2EBFEE51B614}" name="Country"/>
    <tableColumn id="5" xr3:uid="{5D7779C3-3792-48EC-9FB1-734992FCCEF9}" name="Account Manager"/>
    <tableColumn id="6" xr3:uid="{5E89D381-0BCF-4077-89C2-CB74E9F97B1E}" name="Cargo Type"/>
    <tableColumn id="7" xr3:uid="{7A00AA95-1418-4CFE-BE2D-83A185FDC43E}" name="Port Name"/>
    <tableColumn id="8" xr3:uid="{E429ABE7-C245-4918-BD61-0692AE9C86B2}" name="Fe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852B5F-8666-4FDF-AC24-2C69CFCADCC8}" name="AppleData" displayName="AppleData" ref="B15:H463" totalsRowCount="1" headerRowDxfId="26" headerRowBorderDxfId="25" tableBorderDxfId="24" headerRowCellStyle="Normal 2 2">
  <autoFilter ref="B15:H462" xr:uid="{A9852B5F-8666-4FDF-AC24-2C69CFCADCC8}"/>
  <tableColumns count="7">
    <tableColumn id="1" xr3:uid="{84C5B9AF-1110-4538-8F2D-7C702D82605D}" name="Date" totalsRowLabel="Total" dataDxfId="23" totalsRowDxfId="22" dataCellStyle="Normal 3 2"/>
    <tableColumn id="2" xr3:uid="{360DC6CE-73B4-469C-8E57-5D19456EDD4B}" name="Salesperson" dataDxfId="21" totalsRowDxfId="20" dataCellStyle="Normal 2 2"/>
    <tableColumn id="3" xr3:uid="{B7B854D6-10F9-4791-9731-DD16476D4824}" name="Customer" dataDxfId="19" totalsRowDxfId="18" dataCellStyle="Normal 2 2"/>
    <tableColumn id="4" xr3:uid="{8B999E86-8CA1-4ADB-B4BD-68AB27AF303B}" name="Product" totalsRowFunction="count" dataDxfId="17" totalsRowDxfId="16" dataCellStyle="Normal 2 2"/>
    <tableColumn id="5" xr3:uid="{90DD6B45-9659-4C29-8C6A-7C7F14F9058B}" name="Selling Price" dataDxfId="15" totalsRowDxfId="14" dataCellStyle="Comma 3 2"/>
    <tableColumn id="6" xr3:uid="{E02CCAA8-0F55-4C5E-AB77-F558A3D9D308}" name="Quantity" totalsRowFunction="count" dataDxfId="13" totalsRowDxfId="12" dataCellStyle="Comma 2 2"/>
    <tableColumn id="7" xr3:uid="{94F778EC-CD44-4772-91A0-E2EEEDF1046B}" name="Commission" dataDxfId="11">
      <calculatedColumnFormula>AppleData[[#This Row],[Selling Price]]*$F$11*AppleData[[#This Row],[Quantity]]</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766928-C529-41B5-80AD-56D797E27B6A}" name="Data" displayName="Data" ref="B10:I34" totalsRowShown="0" headerRowDxfId="10" dataDxfId="9" tableBorderDxfId="8" headerRowCellStyle="Normal 4 2" dataCellStyle="Comma 2">
  <autoFilter ref="B10:I34" xr:uid="{6A766928-C529-41B5-80AD-56D797E27B6A}"/>
  <tableColumns count="8">
    <tableColumn id="1" xr3:uid="{F1774667-9046-445F-A63C-63787A1804AF}" name="Transaction ID" dataDxfId="7" dataCellStyle="Comma 2"/>
    <tableColumn id="2" xr3:uid="{8B6D996F-347D-4F20-B4C8-13EB340743CF}" name="Date" dataDxfId="6" dataCellStyle="Comma 2"/>
    <tableColumn id="3" xr3:uid="{272E46A2-58AE-4F61-BA32-51BCA2470561}" name="Salesperson" dataDxfId="5" dataCellStyle="Comma 2"/>
    <tableColumn id="4" xr3:uid="{BFCA1C0E-8889-4E27-8970-670B26705B07}" name="Customer" dataDxfId="4" dataCellStyle="Comma 2"/>
    <tableColumn id="5" xr3:uid="{535D7D4D-D82A-4B3F-9558-D21AF77778AE}" name="Item" dataDxfId="3" dataCellStyle="Comma 2"/>
    <tableColumn id="6" xr3:uid="{1DB24FEC-73EC-46B5-B722-E65AA4792CB5}" name="Total Cost" dataDxfId="2" dataCellStyle="Comma 2"/>
    <tableColumn id="7" xr3:uid="{18522FF7-B62A-4E63-BFAA-1532E2C3FA8C}" name="Discount" dataDxfId="1" dataCellStyle="Comma 2">
      <calculatedColumnFormula>INDEX(N$28:N$33,MATCH(G11,M$28:M$33,1))</calculatedColumnFormula>
    </tableColumn>
    <tableColumn id="8" xr3:uid="{B8C6C638-ED5B-4B54-8F29-E08A5F72BCC8}" name="Adj. Total" dataDxfId="0" dataCellStyle="Comma 2">
      <calculatedColumnFormula>G11*(1-H11)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2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3.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03062-D2AC-437F-874D-DF11B3A25D87}">
  <sheetPr codeName="Sheet1"/>
  <dimension ref="A1:R34"/>
  <sheetViews>
    <sheetView showGridLines="0" zoomScaleNormal="100" workbookViewId="0"/>
  </sheetViews>
  <sheetFormatPr defaultColWidth="8.7265625" defaultRowHeight="14" x14ac:dyDescent="0.4"/>
  <cols>
    <col min="1" max="1" width="1.7265625" style="20" customWidth="1"/>
    <col min="2" max="2" width="0.7265625" style="6" customWidth="1"/>
    <col min="3" max="3" width="3" style="20" customWidth="1"/>
    <col min="4" max="5" width="8.7265625" style="20"/>
    <col min="6" max="6" width="46.1796875" style="20" customWidth="1"/>
    <col min="7" max="7" width="8.7265625" style="20"/>
    <col min="8" max="8" width="46.1796875" style="20" customWidth="1"/>
    <col min="9" max="11" width="8.7265625" style="20"/>
    <col min="12" max="12" width="19.54296875" style="20" customWidth="1"/>
    <col min="13" max="14" width="8.7265625" style="20"/>
    <col min="15" max="15" width="1.26953125" style="20" customWidth="1"/>
    <col min="16" max="16384" width="8.7265625" style="20"/>
  </cols>
  <sheetData>
    <row r="1" spans="1:18" x14ac:dyDescent="0.4">
      <c r="A1" s="6"/>
      <c r="C1" s="6"/>
      <c r="D1" s="6"/>
      <c r="E1" s="6"/>
      <c r="F1" s="6"/>
      <c r="G1" s="6"/>
      <c r="H1" s="6"/>
      <c r="I1" s="6"/>
      <c r="J1" s="6"/>
      <c r="K1" s="6"/>
      <c r="L1" s="6"/>
      <c r="M1" s="6"/>
      <c r="N1" s="6"/>
      <c r="O1" s="6"/>
      <c r="P1" s="6"/>
      <c r="Q1" s="6"/>
      <c r="R1" s="6"/>
    </row>
    <row r="2" spans="1:18" ht="21" x14ac:dyDescent="0.55000000000000004">
      <c r="A2" s="6"/>
      <c r="C2" s="117"/>
      <c r="D2" s="118"/>
      <c r="E2" s="120" t="s">
        <v>326</v>
      </c>
      <c r="F2" s="117"/>
      <c r="G2" s="117"/>
      <c r="H2" s="117"/>
      <c r="I2" s="117"/>
      <c r="J2" s="117"/>
      <c r="K2" s="117"/>
      <c r="L2" s="117"/>
      <c r="M2" s="117"/>
      <c r="N2" s="117"/>
      <c r="O2" s="6"/>
      <c r="P2" s="6"/>
      <c r="Q2" s="6"/>
      <c r="R2" s="6"/>
    </row>
    <row r="3" spans="1:18" ht="3" customHeight="1" x14ac:dyDescent="0.4">
      <c r="A3" s="6"/>
      <c r="C3" s="117"/>
      <c r="D3" s="118"/>
      <c r="E3" s="118"/>
      <c r="F3" s="117"/>
      <c r="G3" s="117"/>
      <c r="H3" s="117"/>
      <c r="I3" s="117"/>
      <c r="J3" s="117"/>
      <c r="K3" s="117"/>
      <c r="L3" s="117"/>
      <c r="M3" s="117"/>
      <c r="N3" s="117"/>
      <c r="O3" s="6"/>
      <c r="P3" s="6"/>
      <c r="Q3" s="6"/>
      <c r="R3" s="6"/>
    </row>
    <row r="4" spans="1:18" x14ac:dyDescent="0.4">
      <c r="A4" s="6"/>
      <c r="C4" s="117"/>
      <c r="D4" s="118"/>
      <c r="E4" s="119" t="s">
        <v>383</v>
      </c>
      <c r="F4" s="117"/>
      <c r="G4" s="117"/>
      <c r="H4" s="117"/>
      <c r="I4" s="117"/>
      <c r="J4" s="117"/>
      <c r="K4" s="117"/>
      <c r="L4" s="117"/>
      <c r="M4" s="117"/>
      <c r="N4" s="117"/>
      <c r="O4" s="6"/>
      <c r="P4" s="6"/>
      <c r="Q4" s="6"/>
      <c r="R4" s="6"/>
    </row>
    <row r="5" spans="1:18" ht="3.75" customHeight="1" x14ac:dyDescent="0.4">
      <c r="A5" s="6"/>
      <c r="C5" s="117"/>
      <c r="D5" s="118"/>
      <c r="E5" s="119"/>
      <c r="F5" s="117"/>
      <c r="G5" s="117"/>
      <c r="H5" s="117"/>
      <c r="I5" s="117"/>
      <c r="J5" s="117"/>
      <c r="K5" s="117"/>
      <c r="L5" s="117"/>
      <c r="M5" s="117"/>
      <c r="N5" s="117"/>
      <c r="O5" s="6"/>
      <c r="P5" s="6"/>
      <c r="Q5" s="6"/>
      <c r="R5" s="6"/>
    </row>
    <row r="6" spans="1:18" s="129" customFormat="1" x14ac:dyDescent="0.4">
      <c r="A6" s="116"/>
      <c r="B6" s="6"/>
      <c r="C6" s="116"/>
      <c r="D6" s="116"/>
      <c r="E6" s="116"/>
      <c r="F6" s="116"/>
      <c r="G6" s="116"/>
      <c r="H6" s="116"/>
      <c r="I6" s="116"/>
      <c r="J6" s="116"/>
      <c r="K6" s="116"/>
      <c r="L6" s="116"/>
      <c r="M6" s="116"/>
      <c r="N6" s="116"/>
      <c r="O6" s="116"/>
      <c r="P6" s="116"/>
      <c r="Q6" s="116"/>
      <c r="R6" s="116"/>
    </row>
    <row r="7" spans="1:18" s="129" customFormat="1" x14ac:dyDescent="0.4">
      <c r="A7" s="116"/>
      <c r="B7" s="6"/>
      <c r="C7" s="116"/>
      <c r="D7" s="116"/>
      <c r="E7" s="116"/>
      <c r="F7" s="116"/>
      <c r="G7" s="116"/>
      <c r="H7" s="116"/>
      <c r="I7" s="116"/>
      <c r="J7" s="116"/>
      <c r="K7" s="116"/>
      <c r="L7" s="116"/>
      <c r="M7" s="116"/>
      <c r="N7" s="116"/>
      <c r="O7" s="116"/>
      <c r="P7" s="116"/>
      <c r="Q7" s="116"/>
      <c r="R7" s="116"/>
    </row>
    <row r="8" spans="1:18" ht="32.25" customHeight="1" x14ac:dyDescent="0.65">
      <c r="A8" s="6"/>
      <c r="C8" s="121" t="s">
        <v>325</v>
      </c>
      <c r="D8" s="6"/>
      <c r="E8" s="6"/>
      <c r="F8" s="6"/>
      <c r="G8" s="6"/>
      <c r="H8" s="6"/>
      <c r="I8" s="6"/>
      <c r="J8" s="6"/>
      <c r="K8" s="6"/>
      <c r="L8" s="6"/>
      <c r="M8" s="6"/>
      <c r="N8" s="6"/>
      <c r="O8" s="6"/>
      <c r="P8" s="6"/>
      <c r="Q8" s="6"/>
      <c r="R8" s="6"/>
    </row>
    <row r="9" spans="1:18" s="129" customFormat="1" x14ac:dyDescent="0.4">
      <c r="A9" s="116"/>
      <c r="B9" s="6"/>
      <c r="C9" s="122"/>
      <c r="D9" s="116"/>
      <c r="E9" s="116"/>
      <c r="F9" s="116"/>
      <c r="G9" s="116"/>
      <c r="H9" s="116"/>
      <c r="I9" s="116"/>
      <c r="J9" s="116"/>
      <c r="K9" s="116"/>
      <c r="L9" s="116"/>
      <c r="M9" s="116"/>
      <c r="N9" s="116"/>
      <c r="O9" s="116"/>
      <c r="P9" s="116"/>
      <c r="Q9" s="116"/>
      <c r="R9" s="116"/>
    </row>
    <row r="10" spans="1:18" s="129" customFormat="1" x14ac:dyDescent="0.4">
      <c r="A10" s="116"/>
      <c r="B10" s="6"/>
      <c r="C10" s="116"/>
      <c r="D10" s="116"/>
      <c r="E10" s="116"/>
      <c r="F10" s="116"/>
      <c r="G10" s="116"/>
      <c r="H10" s="116"/>
      <c r="I10" s="116"/>
      <c r="J10" s="116"/>
      <c r="K10" s="116"/>
      <c r="L10" s="116"/>
      <c r="M10" s="116"/>
      <c r="N10" s="116"/>
      <c r="O10" s="116"/>
      <c r="P10" s="116"/>
      <c r="Q10" s="116"/>
      <c r="R10" s="116"/>
    </row>
    <row r="11" spans="1:18" ht="7.5" customHeight="1" x14ac:dyDescent="0.45">
      <c r="A11" s="6"/>
      <c r="C11" s="115"/>
      <c r="D11" s="115"/>
      <c r="E11" s="8"/>
      <c r="F11" s="8"/>
      <c r="G11" s="8"/>
      <c r="H11" s="8"/>
      <c r="I11" s="8"/>
      <c r="J11" s="8"/>
      <c r="K11" s="8"/>
      <c r="L11" s="8"/>
      <c r="M11" s="8"/>
      <c r="N11" s="8"/>
      <c r="O11" s="6"/>
      <c r="P11" s="6"/>
      <c r="Q11" s="6"/>
      <c r="R11" s="6"/>
    </row>
    <row r="12" spans="1:18" ht="22.5" customHeight="1" x14ac:dyDescent="0.45">
      <c r="A12" s="6"/>
      <c r="C12" s="9" t="s">
        <v>1</v>
      </c>
      <c r="D12" s="9" t="s">
        <v>384</v>
      </c>
      <c r="E12" s="10"/>
      <c r="F12" s="10"/>
      <c r="G12" s="10"/>
      <c r="H12" s="10"/>
      <c r="I12" s="8"/>
      <c r="J12" s="8"/>
      <c r="K12" s="8"/>
      <c r="L12" s="8"/>
      <c r="M12" s="8"/>
      <c r="N12" s="8"/>
      <c r="O12" s="6"/>
      <c r="P12" s="6"/>
      <c r="Q12" s="6"/>
      <c r="R12" s="6"/>
    </row>
    <row r="13" spans="1:18" ht="7.5" customHeight="1" x14ac:dyDescent="0.4">
      <c r="A13" s="6"/>
      <c r="C13" s="8"/>
      <c r="D13" s="8"/>
      <c r="E13" s="8"/>
      <c r="F13" s="8"/>
      <c r="G13" s="8"/>
      <c r="H13" s="8"/>
      <c r="I13" s="8"/>
      <c r="J13" s="8"/>
      <c r="K13" s="8"/>
      <c r="L13" s="8"/>
      <c r="M13" s="8"/>
      <c r="N13" s="8"/>
      <c r="O13" s="6"/>
      <c r="P13" s="6"/>
      <c r="Q13" s="6"/>
      <c r="R13" s="6"/>
    </row>
    <row r="14" spans="1:18" ht="22.5" customHeight="1" x14ac:dyDescent="0.45">
      <c r="A14" s="6"/>
      <c r="C14" s="9" t="s">
        <v>2</v>
      </c>
      <c r="D14" s="9" t="s">
        <v>705</v>
      </c>
      <c r="E14" s="9"/>
      <c r="F14" s="9"/>
      <c r="G14" s="9"/>
      <c r="H14" s="9"/>
      <c r="I14" s="8"/>
      <c r="J14" s="8"/>
      <c r="K14" s="8"/>
      <c r="L14" s="8"/>
      <c r="M14" s="8"/>
      <c r="N14" s="8"/>
      <c r="O14" s="6"/>
      <c r="P14" s="6"/>
      <c r="Q14" s="6"/>
      <c r="R14" s="6"/>
    </row>
    <row r="15" spans="1:18" ht="7.5" customHeight="1" x14ac:dyDescent="0.4">
      <c r="A15" s="6"/>
      <c r="C15" s="8"/>
      <c r="D15" s="8"/>
      <c r="E15" s="8"/>
      <c r="F15" s="8"/>
      <c r="G15" s="8"/>
      <c r="H15" s="8"/>
      <c r="I15" s="8"/>
      <c r="J15" s="8"/>
      <c r="K15" s="8"/>
      <c r="L15" s="8"/>
      <c r="M15" s="8"/>
      <c r="N15" s="8"/>
      <c r="O15" s="6"/>
      <c r="P15" s="6"/>
      <c r="Q15" s="6"/>
      <c r="R15" s="6"/>
    </row>
    <row r="16" spans="1:18" ht="22.5" customHeight="1" x14ac:dyDescent="0.45">
      <c r="A16" s="6"/>
      <c r="C16" s="9" t="s">
        <v>3</v>
      </c>
      <c r="D16" s="9" t="s">
        <v>382</v>
      </c>
      <c r="E16" s="9"/>
      <c r="F16" s="9"/>
      <c r="G16" s="9"/>
      <c r="H16" s="9"/>
      <c r="I16" s="8"/>
      <c r="J16" s="8"/>
      <c r="K16" s="8"/>
      <c r="L16" s="8"/>
      <c r="M16" s="8"/>
      <c r="N16" s="8"/>
      <c r="O16" s="6"/>
      <c r="P16" s="6"/>
      <c r="Q16" s="6"/>
      <c r="R16" s="6"/>
    </row>
    <row r="17" spans="1:18" ht="7.5" customHeight="1" x14ac:dyDescent="0.4">
      <c r="A17" s="6"/>
      <c r="C17" s="8"/>
      <c r="D17" s="8"/>
      <c r="E17" s="8"/>
      <c r="F17" s="8"/>
      <c r="G17" s="8"/>
      <c r="H17" s="8"/>
      <c r="I17" s="8"/>
      <c r="J17" s="8"/>
      <c r="K17" s="8"/>
      <c r="L17" s="8"/>
      <c r="M17" s="8"/>
      <c r="N17" s="8"/>
      <c r="O17" s="6"/>
      <c r="P17" s="6"/>
      <c r="Q17" s="6"/>
      <c r="R17" s="6"/>
    </row>
    <row r="18" spans="1:18" ht="22.5" customHeight="1" x14ac:dyDescent="0.45">
      <c r="A18" s="6"/>
      <c r="C18" s="9" t="s">
        <v>4</v>
      </c>
      <c r="D18" s="9" t="s">
        <v>704</v>
      </c>
      <c r="E18" s="9"/>
      <c r="F18" s="9"/>
      <c r="G18" s="9"/>
      <c r="H18" s="9"/>
      <c r="I18" s="8"/>
      <c r="J18" s="8"/>
      <c r="K18" s="8"/>
      <c r="L18" s="8"/>
      <c r="M18" s="8"/>
      <c r="N18" s="8"/>
      <c r="O18" s="6"/>
      <c r="P18" s="6"/>
      <c r="Q18" s="6"/>
      <c r="R18" s="6"/>
    </row>
    <row r="19" spans="1:18" ht="7.5" customHeight="1" x14ac:dyDescent="0.4">
      <c r="A19" s="6"/>
      <c r="C19" s="8"/>
      <c r="D19" s="8"/>
      <c r="E19" s="8"/>
      <c r="F19" s="8"/>
      <c r="G19" s="8"/>
      <c r="H19" s="8"/>
      <c r="I19" s="8"/>
      <c r="J19" s="8"/>
      <c r="K19" s="8"/>
      <c r="L19" s="8"/>
      <c r="M19" s="8"/>
      <c r="N19" s="8"/>
      <c r="O19" s="6"/>
      <c r="P19" s="6"/>
      <c r="Q19" s="6"/>
      <c r="R19" s="6"/>
    </row>
    <row r="20" spans="1:18" ht="22.5" customHeight="1" x14ac:dyDescent="0.45">
      <c r="A20" s="6"/>
      <c r="C20" s="9" t="s">
        <v>5</v>
      </c>
      <c r="D20" s="9" t="s">
        <v>2589</v>
      </c>
      <c r="E20" s="9"/>
      <c r="F20" s="9"/>
      <c r="G20" s="9"/>
      <c r="H20" s="9"/>
      <c r="I20" s="8"/>
      <c r="J20" s="8"/>
      <c r="K20" s="8"/>
      <c r="L20" s="8"/>
      <c r="M20" s="8"/>
      <c r="N20" s="8"/>
      <c r="O20" s="6"/>
      <c r="P20" s="6"/>
      <c r="Q20" s="6"/>
      <c r="R20" s="6"/>
    </row>
    <row r="21" spans="1:18" ht="4.5" customHeight="1" x14ac:dyDescent="0.4">
      <c r="A21" s="6"/>
      <c r="C21" s="8"/>
      <c r="D21" s="8"/>
      <c r="E21" s="8"/>
      <c r="F21" s="8"/>
      <c r="G21" s="8"/>
      <c r="H21" s="8"/>
      <c r="I21" s="8"/>
      <c r="J21" s="8"/>
      <c r="K21" s="8"/>
      <c r="L21" s="8"/>
      <c r="M21" s="8"/>
      <c r="N21" s="8"/>
      <c r="O21" s="6"/>
      <c r="P21" s="6"/>
      <c r="Q21" s="6"/>
      <c r="R21" s="6"/>
    </row>
    <row r="22" spans="1:18" ht="16.5" x14ac:dyDescent="0.45">
      <c r="A22" s="6"/>
      <c r="C22" s="115"/>
      <c r="D22" s="115"/>
      <c r="E22" s="115"/>
      <c r="F22" s="115"/>
      <c r="G22" s="115"/>
      <c r="H22" s="115"/>
      <c r="I22" s="8"/>
      <c r="J22" s="8"/>
      <c r="K22" s="8"/>
      <c r="L22" s="8"/>
      <c r="M22" s="8"/>
      <c r="N22" s="8"/>
      <c r="O22" s="6"/>
      <c r="P22" s="6"/>
      <c r="Q22" s="6"/>
      <c r="R22" s="6"/>
    </row>
    <row r="23" spans="1:18" ht="6.75" customHeight="1" x14ac:dyDescent="0.4">
      <c r="A23" s="6"/>
      <c r="C23" s="8"/>
      <c r="D23" s="8"/>
      <c r="E23" s="8"/>
      <c r="F23" s="8"/>
      <c r="G23" s="8"/>
      <c r="H23" s="8"/>
      <c r="I23" s="8"/>
      <c r="J23" s="8"/>
      <c r="K23" s="8"/>
      <c r="L23" s="8"/>
      <c r="M23" s="8"/>
      <c r="N23" s="8"/>
      <c r="O23" s="6"/>
      <c r="P23" s="6"/>
      <c r="Q23" s="6"/>
      <c r="R23" s="6"/>
    </row>
    <row r="24" spans="1:18" ht="16.5" x14ac:dyDescent="0.45">
      <c r="A24" s="6"/>
      <c r="C24" s="115"/>
      <c r="D24" s="115"/>
      <c r="E24" s="115"/>
      <c r="F24" s="115"/>
      <c r="G24" s="115"/>
      <c r="H24" s="115"/>
      <c r="I24" s="8"/>
      <c r="J24" s="8"/>
      <c r="K24" s="8"/>
      <c r="L24" s="8"/>
      <c r="M24" s="8"/>
      <c r="N24" s="8"/>
      <c r="O24" s="6"/>
      <c r="P24" s="6"/>
      <c r="Q24" s="6"/>
      <c r="R24" s="6"/>
    </row>
    <row r="25" spans="1:18" x14ac:dyDescent="0.4">
      <c r="A25" s="6"/>
      <c r="C25" s="8"/>
      <c r="D25" s="8"/>
      <c r="E25" s="8"/>
      <c r="F25" s="8"/>
      <c r="G25" s="8"/>
      <c r="H25" s="8"/>
      <c r="I25" s="8"/>
      <c r="J25" s="8"/>
      <c r="K25" s="8"/>
      <c r="L25" s="8"/>
      <c r="M25" s="8"/>
      <c r="N25" s="8"/>
      <c r="O25" s="6"/>
      <c r="P25" s="6"/>
      <c r="Q25" s="6"/>
      <c r="R25" s="6"/>
    </row>
    <row r="26" spans="1:18" x14ac:dyDescent="0.4">
      <c r="A26" s="6"/>
      <c r="C26" s="8"/>
      <c r="D26" s="8"/>
      <c r="E26" s="8"/>
      <c r="F26" s="8"/>
      <c r="G26" s="8"/>
      <c r="H26" s="8"/>
      <c r="I26" s="8"/>
      <c r="J26" s="8"/>
      <c r="K26" s="8"/>
      <c r="L26" s="8"/>
      <c r="M26" s="8"/>
      <c r="N26" s="8"/>
      <c r="O26" s="6"/>
      <c r="P26" s="6"/>
      <c r="Q26" s="6"/>
      <c r="R26" s="6"/>
    </row>
    <row r="27" spans="1:18" x14ac:dyDescent="0.4">
      <c r="A27" s="6"/>
      <c r="C27" s="8"/>
      <c r="D27" s="8"/>
      <c r="E27" s="8"/>
      <c r="F27" s="8"/>
      <c r="G27" s="8"/>
      <c r="H27" s="8"/>
      <c r="I27" s="8"/>
      <c r="J27" s="8"/>
      <c r="K27" s="8"/>
      <c r="L27" s="8"/>
      <c r="M27" s="8"/>
      <c r="N27" s="8"/>
      <c r="O27" s="6"/>
      <c r="P27" s="6"/>
      <c r="Q27" s="6"/>
      <c r="R27" s="6"/>
    </row>
    <row r="28" spans="1:18" x14ac:dyDescent="0.4">
      <c r="A28" s="6"/>
      <c r="C28" s="8"/>
      <c r="D28" s="8"/>
      <c r="E28" s="8"/>
      <c r="F28" s="8"/>
      <c r="G28" s="8"/>
      <c r="H28" s="8"/>
      <c r="I28" s="8"/>
      <c r="J28" s="8"/>
      <c r="K28" s="8"/>
      <c r="L28" s="8"/>
      <c r="M28" s="8"/>
      <c r="N28" s="8"/>
      <c r="O28" s="6"/>
      <c r="P28" s="6"/>
      <c r="Q28" s="6"/>
      <c r="R28" s="6"/>
    </row>
    <row r="29" spans="1:18" x14ac:dyDescent="0.4">
      <c r="A29" s="6"/>
      <c r="C29" s="8"/>
      <c r="D29" s="8"/>
      <c r="E29" s="8"/>
      <c r="F29" s="8"/>
      <c r="G29" s="8"/>
      <c r="H29" s="8"/>
      <c r="I29" s="8"/>
      <c r="J29" s="8"/>
      <c r="K29" s="8"/>
      <c r="L29" s="8"/>
      <c r="M29" s="8"/>
      <c r="N29" s="8"/>
      <c r="O29" s="6"/>
      <c r="P29" s="6"/>
      <c r="Q29" s="6"/>
      <c r="R29" s="6"/>
    </row>
    <row r="30" spans="1:18" x14ac:dyDescent="0.4">
      <c r="A30" s="6"/>
      <c r="C30" s="6"/>
      <c r="D30" s="6"/>
      <c r="E30" s="6"/>
      <c r="F30" s="6"/>
      <c r="G30" s="6"/>
      <c r="H30" s="6"/>
      <c r="I30" s="6"/>
      <c r="J30" s="6"/>
      <c r="K30" s="6"/>
      <c r="L30" s="6"/>
      <c r="M30" s="6"/>
      <c r="N30" s="6"/>
      <c r="O30" s="6"/>
      <c r="P30" s="6"/>
      <c r="Q30" s="6"/>
      <c r="R30" s="6"/>
    </row>
    <row r="31" spans="1:18" x14ac:dyDescent="0.4">
      <c r="A31" s="6"/>
      <c r="C31" s="6"/>
      <c r="D31" s="6"/>
      <c r="E31" s="6"/>
      <c r="F31" s="6"/>
      <c r="G31" s="6"/>
      <c r="H31" s="6"/>
      <c r="I31" s="6"/>
      <c r="J31" s="6"/>
      <c r="K31" s="6"/>
      <c r="L31" s="6"/>
      <c r="M31" s="6"/>
      <c r="N31" s="6"/>
      <c r="O31" s="6"/>
      <c r="P31" s="6"/>
      <c r="Q31" s="6"/>
      <c r="R31" s="6"/>
    </row>
    <row r="32" spans="1:18" x14ac:dyDescent="0.4">
      <c r="A32" s="6"/>
      <c r="C32" s="6"/>
      <c r="D32" s="6"/>
      <c r="E32" s="6"/>
      <c r="F32" s="6"/>
      <c r="G32" s="6"/>
      <c r="H32" s="6"/>
      <c r="I32" s="6"/>
      <c r="J32" s="6"/>
      <c r="K32" s="6"/>
      <c r="L32" s="6"/>
      <c r="M32" s="6"/>
      <c r="N32" s="6"/>
      <c r="O32" s="6"/>
      <c r="P32" s="6"/>
      <c r="Q32" s="6"/>
      <c r="R32" s="6"/>
    </row>
    <row r="33" spans="1:18" x14ac:dyDescent="0.4">
      <c r="A33" s="6"/>
      <c r="C33" s="6"/>
      <c r="D33" s="6"/>
      <c r="E33" s="6"/>
      <c r="F33" s="6"/>
      <c r="G33" s="6"/>
      <c r="H33" s="6"/>
      <c r="I33" s="6"/>
      <c r="J33" s="6"/>
      <c r="K33" s="6"/>
      <c r="L33" s="6"/>
      <c r="M33" s="6"/>
      <c r="N33" s="6"/>
      <c r="O33" s="6"/>
      <c r="P33" s="6"/>
      <c r="Q33" s="6"/>
      <c r="R33" s="6"/>
    </row>
    <row r="34" spans="1:18" x14ac:dyDescent="0.4">
      <c r="A34" s="6"/>
      <c r="C34" s="6"/>
      <c r="D34" s="6"/>
      <c r="E34" s="6"/>
      <c r="F34" s="6"/>
      <c r="G34" s="6"/>
      <c r="H34" s="6"/>
      <c r="I34" s="6"/>
      <c r="J34" s="6"/>
      <c r="K34" s="6"/>
      <c r="L34" s="6"/>
      <c r="M34" s="6"/>
      <c r="N34" s="6"/>
      <c r="O34" s="6"/>
      <c r="P34" s="6"/>
      <c r="Q34" s="6"/>
      <c r="R34" s="6"/>
    </row>
  </sheetData>
  <sheetProtection algorithmName="SHA-512" hashValue="748jCeiBBD2nqrDdgzBpaFtIh4/W9ThSZrB52YaCaDVUb7wg8LEiyjwdR/qYTcTFcNADhYkatcVRG8NiaWeV/g==" saltValue="PSxeWOMwZkXF9ZxvK1fwgA==" spinCount="100000" sheet="1" objects="1" scenarios="1"/>
  <phoneticPr fontId="15"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3F508-1AD1-43C5-8320-F910A8A060F7}">
  <sheetPr codeName="Sheet4"/>
  <dimension ref="A1:Q121"/>
  <sheetViews>
    <sheetView showGridLines="0" workbookViewId="0">
      <pane ySplit="5" topLeftCell="A6" activePane="bottomLeft" state="frozen"/>
      <selection pane="bottomLeft"/>
    </sheetView>
  </sheetViews>
  <sheetFormatPr defaultColWidth="8.81640625" defaultRowHeight="14" x14ac:dyDescent="0.4"/>
  <cols>
    <col min="1" max="1" width="2.453125" style="20" customWidth="1"/>
    <col min="2" max="3" width="3.54296875" style="20" customWidth="1"/>
    <col min="4" max="4" width="11.54296875" style="439" customWidth="1"/>
    <col min="5" max="5" width="50.453125" style="20" customWidth="1"/>
    <col min="6" max="6" width="20" style="20" customWidth="1"/>
    <col min="7" max="7" width="11.54296875" style="20" customWidth="1"/>
    <col min="8" max="10" width="10.81640625" style="440" customWidth="1"/>
    <col min="11" max="17" width="8.7265625" style="20" customWidth="1"/>
    <col min="18" max="16384" width="8.81640625" style="20"/>
  </cols>
  <sheetData>
    <row r="1" spans="1:17" x14ac:dyDescent="0.4">
      <c r="A1" s="6"/>
      <c r="B1" s="6"/>
      <c r="C1" s="6"/>
      <c r="D1" s="19"/>
      <c r="E1" s="6"/>
      <c r="F1" s="6"/>
      <c r="G1" s="6"/>
      <c r="H1" s="16"/>
      <c r="I1" s="16"/>
      <c r="J1" s="16"/>
      <c r="K1" s="6"/>
      <c r="L1" s="6"/>
      <c r="M1" s="6"/>
      <c r="N1" s="6"/>
      <c r="O1" s="6"/>
      <c r="P1" s="6"/>
      <c r="Q1" s="6"/>
    </row>
    <row r="2" spans="1:17" ht="26" x14ac:dyDescent="0.65">
      <c r="A2" s="6"/>
      <c r="B2" s="7" t="str">
        <f>Cover!$C$8</f>
        <v>Microsoft Excel Training</v>
      </c>
      <c r="C2" s="6"/>
      <c r="D2" s="19"/>
      <c r="E2" s="6"/>
      <c r="F2" s="6"/>
      <c r="G2" s="6"/>
      <c r="H2" s="16"/>
      <c r="I2" s="16"/>
      <c r="J2" s="16"/>
      <c r="K2" s="6"/>
      <c r="L2" s="6"/>
      <c r="M2" s="6"/>
      <c r="N2" s="6"/>
      <c r="O2" s="6"/>
      <c r="P2" s="6"/>
      <c r="Q2" s="6"/>
    </row>
    <row r="3" spans="1:17" x14ac:dyDescent="0.4">
      <c r="A3" s="6"/>
      <c r="B3" s="6"/>
      <c r="C3" s="6"/>
      <c r="D3" s="19"/>
      <c r="E3" s="6"/>
      <c r="F3" s="6"/>
      <c r="G3" s="6"/>
      <c r="H3" s="16"/>
      <c r="I3" s="16"/>
      <c r="J3" s="16"/>
      <c r="K3" s="6"/>
      <c r="L3" s="6"/>
      <c r="M3" s="6"/>
      <c r="N3" s="6"/>
      <c r="O3" s="6"/>
      <c r="P3" s="6"/>
      <c r="Q3" s="6"/>
    </row>
    <row r="4" spans="1:17" x14ac:dyDescent="0.4">
      <c r="A4" s="8"/>
      <c r="B4" s="8"/>
      <c r="C4" s="8"/>
      <c r="D4" s="8"/>
      <c r="E4" s="8"/>
      <c r="F4" s="8"/>
      <c r="G4" s="8"/>
      <c r="H4" s="17"/>
      <c r="I4" s="17"/>
      <c r="J4" s="17"/>
      <c r="K4" s="8"/>
      <c r="L4" s="8"/>
      <c r="M4" s="8"/>
      <c r="N4" s="8"/>
      <c r="O4" s="8"/>
      <c r="P4" s="8"/>
      <c r="Q4" s="8"/>
    </row>
    <row r="5" spans="1:17" s="438" customFormat="1" ht="17.5" x14ac:dyDescent="0.45">
      <c r="A5" s="11"/>
      <c r="B5" s="14" t="s">
        <v>0</v>
      </c>
      <c r="C5" s="15"/>
      <c r="D5" s="15"/>
      <c r="E5" s="15"/>
      <c r="F5" s="15"/>
      <c r="G5" s="15"/>
      <c r="H5" s="18" t="s">
        <v>6</v>
      </c>
      <c r="I5" s="18" t="s">
        <v>7</v>
      </c>
      <c r="J5" s="18" t="s">
        <v>8</v>
      </c>
      <c r="K5" s="15"/>
      <c r="L5" s="15"/>
      <c r="M5" s="15"/>
      <c r="N5" s="15"/>
      <c r="O5" s="15"/>
      <c r="P5" s="15"/>
      <c r="Q5" s="15"/>
    </row>
    <row r="6" spans="1:17" ht="3.75" customHeight="1" x14ac:dyDescent="0.4">
      <c r="A6" s="8"/>
      <c r="B6" s="8"/>
      <c r="C6" s="8"/>
      <c r="D6" s="8"/>
      <c r="E6" s="8"/>
      <c r="F6" s="8"/>
      <c r="G6" s="8"/>
      <c r="H6" s="17"/>
      <c r="I6" s="17"/>
      <c r="J6" s="17"/>
      <c r="K6" s="8"/>
      <c r="L6" s="8"/>
      <c r="M6" s="8"/>
      <c r="N6" s="8"/>
      <c r="O6" s="8"/>
      <c r="P6" s="8"/>
      <c r="Q6" s="8"/>
    </row>
    <row r="7" spans="1:17" ht="12" customHeight="1" x14ac:dyDescent="0.4">
      <c r="A7" s="8"/>
      <c r="B7" s="108"/>
      <c r="C7" s="108"/>
      <c r="D7" s="109"/>
      <c r="E7" s="109"/>
      <c r="F7" s="8"/>
      <c r="G7" s="8"/>
      <c r="H7" s="17"/>
      <c r="I7" s="17"/>
      <c r="J7" s="17"/>
      <c r="K7" s="8"/>
      <c r="L7" s="8"/>
      <c r="M7" s="8"/>
      <c r="N7" s="8"/>
      <c r="O7" s="8"/>
      <c r="P7" s="8"/>
      <c r="Q7" s="8"/>
    </row>
    <row r="8" spans="1:17" x14ac:dyDescent="0.4">
      <c r="A8" s="8"/>
      <c r="B8" s="13" t="s">
        <v>1</v>
      </c>
      <c r="C8" s="12" t="s">
        <v>387</v>
      </c>
      <c r="D8" s="8"/>
      <c r="E8" s="8"/>
      <c r="F8" s="8"/>
      <c r="G8" s="8"/>
      <c r="H8" s="17"/>
      <c r="I8" s="17"/>
      <c r="J8" s="17"/>
      <c r="K8" s="8"/>
      <c r="L8" s="8"/>
      <c r="M8" s="8"/>
      <c r="N8" s="8"/>
      <c r="O8" s="8"/>
      <c r="P8" s="8"/>
      <c r="Q8" s="8"/>
    </row>
    <row r="9" spans="1:17" x14ac:dyDescent="0.4">
      <c r="A9" s="8"/>
      <c r="B9" s="8"/>
      <c r="C9" s="8"/>
      <c r="D9" s="23" t="s">
        <v>537</v>
      </c>
      <c r="E9" s="21"/>
      <c r="F9" s="21"/>
      <c r="G9" s="8"/>
      <c r="H9" s="444"/>
      <c r="I9" s="444"/>
      <c r="J9" s="444"/>
      <c r="K9" s="8"/>
      <c r="L9" s="8"/>
      <c r="M9" s="8"/>
      <c r="N9" s="8"/>
      <c r="O9" s="8"/>
      <c r="P9" s="8"/>
      <c r="Q9" s="8"/>
    </row>
    <row r="10" spans="1:17" x14ac:dyDescent="0.4">
      <c r="A10" s="8"/>
      <c r="B10" s="8"/>
      <c r="C10" s="8"/>
      <c r="D10" s="23" t="s">
        <v>538</v>
      </c>
      <c r="E10" s="22"/>
      <c r="F10" s="22"/>
      <c r="G10" s="8"/>
      <c r="H10" s="444"/>
      <c r="I10" s="444"/>
      <c r="J10" s="444"/>
      <c r="K10" s="8"/>
      <c r="L10" s="8"/>
      <c r="M10" s="8"/>
      <c r="N10" s="8"/>
      <c r="O10" s="8"/>
      <c r="P10" s="8"/>
      <c r="Q10" s="8"/>
    </row>
    <row r="11" spans="1:17" x14ac:dyDescent="0.4">
      <c r="A11" s="8"/>
      <c r="B11" s="8"/>
      <c r="C11" s="8"/>
      <c r="D11" s="23" t="s">
        <v>544</v>
      </c>
      <c r="E11" s="22"/>
      <c r="F11" s="22"/>
      <c r="G11" s="8"/>
      <c r="H11" s="444"/>
      <c r="I11" s="444"/>
      <c r="J11" s="444"/>
      <c r="K11" s="8"/>
      <c r="L11" s="8"/>
      <c r="M11" s="8"/>
      <c r="N11" s="8"/>
      <c r="O11" s="8"/>
      <c r="P11" s="8"/>
      <c r="Q11" s="8"/>
    </row>
    <row r="12" spans="1:17" x14ac:dyDescent="0.4">
      <c r="A12" s="8"/>
      <c r="B12" s="8"/>
      <c r="C12" s="8"/>
      <c r="D12" s="24" t="s">
        <v>519</v>
      </c>
      <c r="E12" s="22"/>
      <c r="F12" s="22"/>
      <c r="G12" s="8"/>
      <c r="H12" s="444"/>
      <c r="I12" s="444"/>
      <c r="J12" s="444"/>
      <c r="K12" s="8"/>
      <c r="L12" s="8"/>
      <c r="M12" s="8"/>
      <c r="N12" s="8"/>
      <c r="O12" s="8"/>
      <c r="P12" s="8"/>
      <c r="Q12" s="8"/>
    </row>
    <row r="13" spans="1:17" x14ac:dyDescent="0.4">
      <c r="A13" s="8"/>
      <c r="B13" s="8"/>
      <c r="C13" s="8"/>
      <c r="D13" s="24" t="s">
        <v>541</v>
      </c>
      <c r="E13" s="22"/>
      <c r="F13" s="22"/>
      <c r="G13" s="8"/>
      <c r="H13" s="444"/>
      <c r="I13" s="444"/>
      <c r="J13" s="444"/>
      <c r="K13" s="8"/>
      <c r="L13" s="8"/>
      <c r="M13" s="8"/>
      <c r="N13" s="8"/>
      <c r="O13" s="8"/>
      <c r="P13" s="8"/>
      <c r="Q13" s="8"/>
    </row>
    <row r="14" spans="1:17" x14ac:dyDescent="0.4">
      <c r="A14" s="8"/>
      <c r="B14" s="8"/>
      <c r="C14" s="8"/>
      <c r="D14" s="24" t="s">
        <v>542</v>
      </c>
      <c r="E14" s="22"/>
      <c r="F14" s="22"/>
      <c r="G14" s="8"/>
      <c r="H14" s="444"/>
      <c r="I14" s="444"/>
      <c r="J14" s="444"/>
      <c r="K14" s="8"/>
      <c r="L14" s="8"/>
      <c r="M14" s="8"/>
      <c r="N14" s="8"/>
      <c r="O14" s="8"/>
      <c r="P14" s="8"/>
      <c r="Q14" s="8"/>
    </row>
    <row r="15" spans="1:17" x14ac:dyDescent="0.4">
      <c r="A15" s="8"/>
      <c r="B15" s="8"/>
      <c r="C15" s="8"/>
      <c r="D15" s="23" t="s">
        <v>539</v>
      </c>
      <c r="E15" s="22"/>
      <c r="F15" s="22"/>
      <c r="G15" s="8"/>
      <c r="H15" s="444"/>
      <c r="I15" s="444"/>
      <c r="J15" s="444"/>
      <c r="K15" s="8"/>
      <c r="L15" s="8"/>
      <c r="M15" s="8"/>
      <c r="N15" s="8"/>
      <c r="O15" s="8"/>
      <c r="P15" s="8"/>
      <c r="Q15" s="8"/>
    </row>
    <row r="16" spans="1:17" x14ac:dyDescent="0.4">
      <c r="A16" s="8"/>
      <c r="B16" s="8"/>
      <c r="C16" s="8"/>
      <c r="D16" s="24" t="s">
        <v>540</v>
      </c>
      <c r="E16" s="22"/>
      <c r="F16" s="22"/>
      <c r="G16" s="8"/>
      <c r="H16" s="444"/>
      <c r="I16" s="444"/>
      <c r="J16" s="444"/>
      <c r="K16" s="8"/>
      <c r="L16" s="8"/>
      <c r="M16" s="8"/>
      <c r="N16" s="8"/>
      <c r="O16" s="8"/>
      <c r="P16" s="8"/>
      <c r="Q16" s="8"/>
    </row>
    <row r="17" spans="1:17" x14ac:dyDescent="0.4">
      <c r="A17" s="8"/>
      <c r="B17" s="8"/>
      <c r="C17" s="8"/>
      <c r="D17" s="8"/>
      <c r="E17" s="8"/>
      <c r="F17" s="8"/>
      <c r="G17" s="8"/>
      <c r="H17" s="8"/>
      <c r="I17" s="8"/>
      <c r="J17" s="8"/>
      <c r="K17" s="8"/>
      <c r="L17" s="8"/>
      <c r="M17" s="8"/>
      <c r="N17" s="8"/>
      <c r="O17" s="8"/>
      <c r="P17" s="8"/>
      <c r="Q17" s="8"/>
    </row>
    <row r="18" spans="1:17" x14ac:dyDescent="0.4">
      <c r="A18" s="8"/>
      <c r="B18" s="8"/>
      <c r="C18" s="8"/>
      <c r="D18" s="8"/>
      <c r="E18" s="8"/>
      <c r="F18" s="8"/>
      <c r="G18" s="8"/>
      <c r="H18" s="8"/>
      <c r="I18" s="8"/>
      <c r="J18" s="8"/>
      <c r="K18" s="8"/>
      <c r="L18" s="8"/>
      <c r="M18" s="8"/>
      <c r="N18" s="8"/>
      <c r="O18" s="8"/>
      <c r="P18" s="8"/>
      <c r="Q18" s="8"/>
    </row>
    <row r="19" spans="1:17" x14ac:dyDescent="0.4">
      <c r="A19" s="8"/>
      <c r="B19" s="13" t="s">
        <v>2</v>
      </c>
      <c r="C19" s="12" t="s">
        <v>363</v>
      </c>
      <c r="D19" s="8"/>
      <c r="E19" s="8"/>
      <c r="F19" s="8"/>
      <c r="G19" s="8"/>
      <c r="H19" s="8"/>
      <c r="I19" s="8"/>
      <c r="J19" s="8"/>
      <c r="K19" s="8"/>
      <c r="L19" s="8"/>
      <c r="M19" s="8"/>
      <c r="N19" s="8"/>
      <c r="O19" s="8"/>
      <c r="P19" s="8"/>
      <c r="Q19" s="8"/>
    </row>
    <row r="20" spans="1:17" x14ac:dyDescent="0.4">
      <c r="A20" s="8"/>
      <c r="B20" s="8"/>
      <c r="C20" s="8"/>
      <c r="D20" s="23" t="s">
        <v>549</v>
      </c>
      <c r="E20" s="21"/>
      <c r="F20" s="21"/>
      <c r="G20" s="8"/>
      <c r="H20" s="444"/>
      <c r="I20" s="444"/>
      <c r="J20" s="444"/>
      <c r="K20" s="8"/>
      <c r="L20" s="8"/>
      <c r="M20" s="8"/>
      <c r="N20" s="8"/>
      <c r="O20" s="8"/>
      <c r="P20" s="8"/>
      <c r="Q20" s="8"/>
    </row>
    <row r="21" spans="1:17" x14ac:dyDescent="0.4">
      <c r="A21" s="8"/>
      <c r="B21" s="8"/>
      <c r="C21" s="8"/>
      <c r="D21" s="24" t="s">
        <v>545</v>
      </c>
      <c r="E21" s="21"/>
      <c r="F21" s="21"/>
      <c r="G21" s="8"/>
      <c r="H21" s="444"/>
      <c r="I21" s="444"/>
      <c r="J21" s="444"/>
      <c r="K21" s="8"/>
      <c r="L21" s="8"/>
      <c r="M21" s="8"/>
      <c r="N21" s="8"/>
      <c r="O21" s="8"/>
      <c r="P21" s="8"/>
      <c r="Q21" s="8"/>
    </row>
    <row r="22" spans="1:17" x14ac:dyDescent="0.4">
      <c r="A22" s="8"/>
      <c r="B22" s="8"/>
      <c r="C22" s="8"/>
      <c r="D22" s="24" t="s">
        <v>546</v>
      </c>
      <c r="E22" s="21"/>
      <c r="F22" s="21"/>
      <c r="G22" s="8"/>
      <c r="H22" s="444"/>
      <c r="I22" s="444"/>
      <c r="J22" s="444"/>
      <c r="K22" s="8"/>
      <c r="L22" s="8"/>
      <c r="M22" s="8"/>
      <c r="N22" s="8"/>
      <c r="O22" s="8"/>
      <c r="P22" s="8"/>
      <c r="Q22" s="8"/>
    </row>
    <row r="23" spans="1:17" x14ac:dyDescent="0.4">
      <c r="A23" s="8"/>
      <c r="B23" s="8"/>
      <c r="C23" s="8"/>
      <c r="D23" s="24" t="s">
        <v>547</v>
      </c>
      <c r="E23" s="21"/>
      <c r="F23" s="21"/>
      <c r="G23" s="8"/>
      <c r="H23" s="444"/>
      <c r="I23" s="444"/>
      <c r="J23" s="444"/>
      <c r="K23" s="8"/>
      <c r="L23" s="8"/>
      <c r="M23" s="8"/>
      <c r="N23" s="8"/>
      <c r="O23" s="8"/>
      <c r="P23" s="8"/>
      <c r="Q23" s="8"/>
    </row>
    <row r="24" spans="1:17" x14ac:dyDescent="0.4">
      <c r="A24" s="8"/>
      <c r="B24" s="8"/>
      <c r="C24" s="8"/>
      <c r="D24" s="8"/>
      <c r="E24" s="8"/>
      <c r="F24" s="8"/>
      <c r="G24" s="8"/>
      <c r="H24" s="8"/>
      <c r="I24" s="8"/>
      <c r="J24" s="8"/>
      <c r="K24" s="8"/>
      <c r="L24" s="8"/>
      <c r="M24" s="8"/>
      <c r="N24" s="8"/>
      <c r="O24" s="8"/>
      <c r="P24" s="8"/>
      <c r="Q24" s="8"/>
    </row>
    <row r="25" spans="1:17" x14ac:dyDescent="0.4">
      <c r="A25" s="8"/>
      <c r="B25" s="8"/>
      <c r="C25" s="8"/>
      <c r="D25" s="8"/>
      <c r="E25" s="8"/>
      <c r="F25" s="8"/>
      <c r="G25" s="8"/>
      <c r="H25" s="8"/>
      <c r="I25" s="8"/>
      <c r="J25" s="8"/>
      <c r="K25" s="8"/>
      <c r="L25" s="8"/>
      <c r="M25" s="8"/>
      <c r="N25" s="8"/>
      <c r="O25" s="8"/>
      <c r="P25" s="8"/>
      <c r="Q25" s="8"/>
    </row>
    <row r="26" spans="1:17" x14ac:dyDescent="0.4">
      <c r="A26" s="8"/>
      <c r="B26" s="13" t="s">
        <v>3</v>
      </c>
      <c r="C26" s="13" t="s">
        <v>388</v>
      </c>
      <c r="D26" s="8"/>
      <c r="E26" s="8"/>
      <c r="F26" s="8"/>
      <c r="G26" s="8"/>
      <c r="H26" s="8"/>
      <c r="I26" s="8"/>
      <c r="J26" s="8"/>
      <c r="K26" s="8"/>
      <c r="L26" s="8"/>
      <c r="M26" s="8"/>
      <c r="N26" s="8"/>
      <c r="O26" s="8"/>
      <c r="P26" s="8"/>
      <c r="Q26" s="8"/>
    </row>
    <row r="27" spans="1:17" x14ac:dyDescent="0.4">
      <c r="A27" s="8"/>
      <c r="B27" s="8"/>
      <c r="C27" s="8"/>
      <c r="D27" s="24" t="s">
        <v>546</v>
      </c>
      <c r="E27" s="21"/>
      <c r="F27" s="21"/>
      <c r="G27" s="8"/>
      <c r="H27" s="444"/>
      <c r="I27" s="444"/>
      <c r="J27" s="444"/>
      <c r="K27" s="8"/>
      <c r="L27" s="8"/>
      <c r="M27" s="8"/>
      <c r="N27" s="8"/>
      <c r="O27" s="8"/>
      <c r="P27" s="8"/>
      <c r="Q27" s="8"/>
    </row>
    <row r="28" spans="1:17" x14ac:dyDescent="0.4">
      <c r="A28" s="8"/>
      <c r="B28" s="8"/>
      <c r="C28" s="8"/>
      <c r="D28" s="24" t="s">
        <v>547</v>
      </c>
      <c r="E28" s="21"/>
      <c r="F28" s="21"/>
      <c r="G28" s="8"/>
      <c r="H28" s="444"/>
      <c r="I28" s="444"/>
      <c r="J28" s="444"/>
      <c r="K28" s="8"/>
      <c r="L28" s="8"/>
      <c r="M28" s="8"/>
      <c r="N28" s="8"/>
      <c r="O28" s="8"/>
      <c r="P28" s="8"/>
      <c r="Q28" s="8"/>
    </row>
    <row r="29" spans="1:17" x14ac:dyDescent="0.4">
      <c r="A29" s="8"/>
      <c r="B29" s="8"/>
      <c r="C29" s="8"/>
      <c r="D29" s="24" t="s">
        <v>548</v>
      </c>
      <c r="E29" s="21"/>
      <c r="F29" s="21"/>
      <c r="G29" s="8"/>
      <c r="H29" s="444"/>
      <c r="I29" s="444"/>
      <c r="J29" s="444"/>
      <c r="K29" s="8"/>
      <c r="L29" s="8"/>
      <c r="M29" s="8"/>
      <c r="N29" s="8"/>
      <c r="O29" s="8"/>
      <c r="P29" s="8"/>
      <c r="Q29" s="8"/>
    </row>
    <row r="30" spans="1:17" x14ac:dyDescent="0.4">
      <c r="A30" s="8"/>
      <c r="B30" s="8"/>
      <c r="C30" s="8"/>
      <c r="D30" s="8"/>
      <c r="E30" s="8"/>
      <c r="F30" s="8"/>
      <c r="G30" s="8"/>
      <c r="H30" s="8"/>
      <c r="I30" s="8"/>
      <c r="J30" s="8"/>
      <c r="K30" s="8"/>
      <c r="L30" s="8"/>
      <c r="M30" s="8"/>
      <c r="N30" s="8"/>
      <c r="O30" s="8"/>
      <c r="P30" s="8"/>
      <c r="Q30" s="8"/>
    </row>
    <row r="31" spans="1:17" x14ac:dyDescent="0.4">
      <c r="A31" s="8"/>
      <c r="B31" s="8"/>
      <c r="C31" s="8"/>
      <c r="D31" s="8"/>
      <c r="E31" s="8"/>
      <c r="F31" s="8"/>
      <c r="G31" s="8"/>
      <c r="H31" s="8"/>
      <c r="I31" s="8"/>
      <c r="J31" s="8"/>
      <c r="K31" s="8"/>
      <c r="L31" s="8"/>
      <c r="M31" s="8"/>
      <c r="N31" s="8"/>
      <c r="O31" s="8"/>
      <c r="P31" s="8"/>
      <c r="Q31" s="8"/>
    </row>
    <row r="32" spans="1:17" x14ac:dyDescent="0.4">
      <c r="A32" s="8"/>
      <c r="B32" s="13" t="s">
        <v>4</v>
      </c>
      <c r="C32" s="13" t="s">
        <v>322</v>
      </c>
      <c r="D32" s="8"/>
      <c r="E32" s="8"/>
      <c r="F32" s="8"/>
      <c r="G32" s="8"/>
      <c r="H32" s="8"/>
      <c r="I32" s="8"/>
      <c r="J32" s="8"/>
      <c r="K32" s="8"/>
      <c r="L32" s="8"/>
      <c r="M32" s="8"/>
      <c r="N32" s="8"/>
      <c r="O32" s="8"/>
      <c r="P32" s="8"/>
      <c r="Q32" s="8"/>
    </row>
    <row r="33" spans="1:17" x14ac:dyDescent="0.4">
      <c r="A33" s="8"/>
      <c r="B33" s="8"/>
      <c r="C33" s="8"/>
      <c r="D33" s="23" t="s">
        <v>323</v>
      </c>
      <c r="E33" s="21"/>
      <c r="F33" s="21"/>
      <c r="G33" s="8"/>
      <c r="H33" s="444"/>
      <c r="I33" s="444"/>
      <c r="J33" s="444"/>
      <c r="K33" s="8"/>
      <c r="L33" s="8"/>
      <c r="M33" s="8"/>
      <c r="N33" s="8"/>
      <c r="O33" s="8"/>
      <c r="P33" s="8"/>
      <c r="Q33" s="8"/>
    </row>
    <row r="34" spans="1:17" x14ac:dyDescent="0.4">
      <c r="A34" s="8"/>
      <c r="B34" s="8"/>
      <c r="C34" s="8"/>
      <c r="D34" s="23" t="s">
        <v>2671</v>
      </c>
      <c r="E34" s="21"/>
      <c r="F34" s="21"/>
      <c r="G34" s="8"/>
      <c r="H34" s="444"/>
      <c r="I34" s="444"/>
      <c r="J34" s="444"/>
      <c r="K34" s="8"/>
      <c r="L34" s="8"/>
      <c r="M34" s="8"/>
      <c r="N34" s="8"/>
      <c r="O34" s="8"/>
      <c r="P34" s="8"/>
      <c r="Q34" s="8"/>
    </row>
    <row r="35" spans="1:17" x14ac:dyDescent="0.4">
      <c r="A35" s="8"/>
      <c r="B35" s="8"/>
      <c r="C35" s="8"/>
      <c r="D35" s="23" t="s">
        <v>517</v>
      </c>
      <c r="E35" s="21"/>
      <c r="F35" s="21"/>
      <c r="G35" s="8"/>
      <c r="H35" s="444"/>
      <c r="I35" s="444"/>
      <c r="J35" s="444"/>
      <c r="K35" s="8"/>
      <c r="L35" s="8"/>
      <c r="M35" s="8"/>
      <c r="N35" s="8"/>
      <c r="O35" s="8"/>
      <c r="P35" s="8"/>
      <c r="Q35" s="8"/>
    </row>
    <row r="36" spans="1:17" x14ac:dyDescent="0.4">
      <c r="A36" s="8"/>
      <c r="B36" s="8"/>
      <c r="C36" s="8"/>
      <c r="D36" s="8"/>
      <c r="E36" s="8"/>
      <c r="F36" s="8"/>
      <c r="G36" s="8"/>
      <c r="H36" s="8"/>
      <c r="I36" s="8"/>
      <c r="J36" s="8"/>
      <c r="K36" s="8"/>
      <c r="L36" s="8"/>
      <c r="M36" s="8"/>
      <c r="N36" s="8"/>
      <c r="O36" s="8"/>
      <c r="P36" s="8"/>
      <c r="Q36" s="8"/>
    </row>
    <row r="37" spans="1:17" x14ac:dyDescent="0.4">
      <c r="A37" s="8"/>
      <c r="B37" s="8"/>
      <c r="C37" s="8"/>
      <c r="D37" s="8"/>
      <c r="E37" s="8"/>
      <c r="F37" s="8"/>
      <c r="G37" s="8"/>
      <c r="H37" s="8"/>
      <c r="I37" s="8"/>
      <c r="J37" s="8"/>
      <c r="K37" s="8"/>
      <c r="L37" s="8"/>
      <c r="M37" s="8"/>
      <c r="N37" s="8"/>
      <c r="O37" s="8"/>
      <c r="P37" s="8"/>
      <c r="Q37" s="8"/>
    </row>
    <row r="38" spans="1:17" x14ac:dyDescent="0.4">
      <c r="A38" s="8"/>
      <c r="B38" s="13" t="s">
        <v>5</v>
      </c>
      <c r="C38" s="13" t="s">
        <v>2646</v>
      </c>
      <c r="D38" s="8"/>
      <c r="E38" s="8"/>
      <c r="F38" s="8"/>
      <c r="G38" s="8"/>
      <c r="H38" s="8"/>
      <c r="I38" s="8"/>
      <c r="J38" s="8"/>
      <c r="K38" s="8"/>
      <c r="L38" s="8"/>
      <c r="M38" s="8"/>
      <c r="N38" s="8"/>
      <c r="O38" s="8"/>
      <c r="P38" s="8"/>
      <c r="Q38" s="8"/>
    </row>
    <row r="39" spans="1:17" x14ac:dyDescent="0.4">
      <c r="A39" s="8"/>
      <c r="B39" s="13"/>
      <c r="C39" s="13"/>
      <c r="D39" s="23" t="s">
        <v>518</v>
      </c>
      <c r="E39" s="21"/>
      <c r="F39" s="21"/>
      <c r="G39" s="8"/>
      <c r="H39" s="444"/>
      <c r="I39" s="444"/>
      <c r="J39" s="444"/>
      <c r="K39" s="8"/>
      <c r="L39" s="8"/>
      <c r="M39" s="8"/>
      <c r="N39" s="8"/>
      <c r="O39" s="8"/>
      <c r="P39" s="8"/>
      <c r="Q39" s="8"/>
    </row>
    <row r="40" spans="1:17" x14ac:dyDescent="0.4">
      <c r="A40" s="8"/>
      <c r="B40" s="13"/>
      <c r="C40" s="13"/>
      <c r="D40" s="24" t="s">
        <v>2672</v>
      </c>
      <c r="E40" s="21"/>
      <c r="F40" s="21"/>
      <c r="G40" s="8"/>
      <c r="H40" s="444"/>
      <c r="I40" s="444"/>
      <c r="J40" s="444"/>
      <c r="K40" s="8"/>
      <c r="L40" s="8"/>
      <c r="M40" s="8"/>
      <c r="N40" s="8"/>
      <c r="O40" s="8"/>
      <c r="P40" s="8"/>
      <c r="Q40" s="8"/>
    </row>
    <row r="41" spans="1:17" x14ac:dyDescent="0.4">
      <c r="A41" s="8"/>
      <c r="B41" s="8"/>
      <c r="C41" s="8"/>
      <c r="D41" s="8"/>
      <c r="E41" s="8"/>
      <c r="F41" s="8"/>
      <c r="G41" s="8"/>
      <c r="H41" s="8"/>
      <c r="I41" s="8"/>
      <c r="J41" s="8"/>
      <c r="K41" s="8"/>
      <c r="L41" s="8"/>
      <c r="M41" s="8"/>
      <c r="N41" s="8"/>
      <c r="O41" s="8"/>
      <c r="P41" s="8"/>
      <c r="Q41" s="8"/>
    </row>
    <row r="42" spans="1:17" x14ac:dyDescent="0.4">
      <c r="A42" s="8"/>
      <c r="B42" s="8"/>
      <c r="C42" s="8"/>
      <c r="D42" s="8"/>
      <c r="E42" s="8"/>
      <c r="F42" s="8"/>
      <c r="G42" s="8"/>
      <c r="H42" s="8"/>
      <c r="I42" s="8"/>
      <c r="J42" s="8"/>
      <c r="K42" s="8"/>
      <c r="L42" s="8"/>
      <c r="M42" s="8"/>
      <c r="N42" s="8"/>
      <c r="O42" s="8"/>
      <c r="P42" s="8"/>
      <c r="Q42" s="8"/>
    </row>
    <row r="43" spans="1:17" x14ac:dyDescent="0.4">
      <c r="A43" s="8"/>
      <c r="B43" s="13" t="s">
        <v>2648</v>
      </c>
      <c r="C43" s="13" t="s">
        <v>2647</v>
      </c>
      <c r="D43" s="8"/>
      <c r="E43" s="8"/>
      <c r="F43" s="8"/>
      <c r="G43" s="8"/>
      <c r="H43" s="8"/>
      <c r="I43" s="8"/>
      <c r="J43" s="8"/>
      <c r="K43" s="8"/>
      <c r="L43" s="8"/>
      <c r="M43" s="8"/>
      <c r="N43" s="8"/>
      <c r="O43" s="8"/>
      <c r="P43" s="8"/>
      <c r="Q43" s="8"/>
    </row>
    <row r="44" spans="1:17" x14ac:dyDescent="0.4">
      <c r="A44" s="8"/>
      <c r="B44" s="13"/>
      <c r="C44" s="13"/>
      <c r="D44" s="23" t="s">
        <v>518</v>
      </c>
      <c r="E44" s="21"/>
      <c r="F44" s="21"/>
      <c r="G44" s="8"/>
      <c r="H44" s="444"/>
      <c r="I44" s="444"/>
      <c r="J44" s="444"/>
      <c r="K44" s="8"/>
      <c r="L44" s="8"/>
      <c r="M44" s="8"/>
      <c r="N44" s="8"/>
      <c r="O44" s="8"/>
      <c r="P44" s="8"/>
      <c r="Q44" s="8"/>
    </row>
    <row r="45" spans="1:17" x14ac:dyDescent="0.4">
      <c r="A45" s="8"/>
      <c r="B45" s="13"/>
      <c r="C45" s="13"/>
      <c r="D45" s="24" t="s">
        <v>2672</v>
      </c>
      <c r="E45" s="21"/>
      <c r="F45" s="21"/>
      <c r="G45" s="8"/>
      <c r="H45" s="444"/>
      <c r="I45" s="444"/>
      <c r="J45" s="444"/>
      <c r="K45" s="8"/>
      <c r="L45" s="8"/>
      <c r="M45" s="8"/>
      <c r="N45" s="8"/>
      <c r="O45" s="8"/>
      <c r="P45" s="8"/>
      <c r="Q45" s="8"/>
    </row>
    <row r="46" spans="1:17" x14ac:dyDescent="0.4">
      <c r="A46" s="8"/>
      <c r="B46" s="8"/>
      <c r="C46" s="8"/>
      <c r="D46" s="8"/>
      <c r="E46" s="8"/>
      <c r="F46" s="8"/>
      <c r="G46" s="8"/>
      <c r="H46" s="8"/>
      <c r="I46" s="8"/>
      <c r="J46" s="8"/>
      <c r="K46" s="8"/>
      <c r="L46" s="8"/>
      <c r="M46" s="8"/>
      <c r="N46" s="8"/>
      <c r="O46" s="8"/>
      <c r="P46" s="8"/>
      <c r="Q46" s="8"/>
    </row>
    <row r="47" spans="1:17" x14ac:dyDescent="0.4">
      <c r="A47" s="8"/>
      <c r="B47" s="8"/>
      <c r="C47" s="8"/>
      <c r="D47" s="8"/>
      <c r="E47" s="8"/>
      <c r="F47" s="8"/>
      <c r="G47" s="8"/>
      <c r="H47" s="8"/>
      <c r="I47" s="8"/>
      <c r="J47" s="8"/>
      <c r="K47" s="8"/>
      <c r="L47" s="8"/>
      <c r="M47" s="8"/>
      <c r="N47" s="8"/>
      <c r="O47" s="8"/>
      <c r="P47" s="8"/>
      <c r="Q47" s="8"/>
    </row>
    <row r="48" spans="1:17" x14ac:dyDescent="0.4">
      <c r="A48" s="8"/>
      <c r="B48" s="13" t="s">
        <v>2649</v>
      </c>
      <c r="C48" s="13" t="s">
        <v>2650</v>
      </c>
      <c r="D48" s="8"/>
      <c r="E48" s="8"/>
      <c r="F48" s="8"/>
      <c r="G48" s="8"/>
      <c r="H48" s="8"/>
      <c r="I48" s="8"/>
      <c r="J48" s="8"/>
      <c r="K48" s="8"/>
      <c r="L48" s="8"/>
      <c r="M48" s="8"/>
      <c r="N48" s="8"/>
      <c r="O48" s="8"/>
      <c r="P48" s="8"/>
      <c r="Q48" s="8"/>
    </row>
    <row r="49" spans="1:17" x14ac:dyDescent="0.4">
      <c r="A49" s="8"/>
      <c r="B49" s="13"/>
      <c r="C49" s="13"/>
      <c r="D49" s="23" t="s">
        <v>518</v>
      </c>
      <c r="E49" s="21"/>
      <c r="F49" s="21"/>
      <c r="G49" s="8"/>
      <c r="H49" s="444"/>
      <c r="I49" s="444"/>
      <c r="J49" s="444"/>
      <c r="K49" s="8"/>
      <c r="L49" s="8"/>
      <c r="M49" s="8"/>
      <c r="N49" s="8"/>
      <c r="O49" s="8"/>
      <c r="P49" s="8"/>
      <c r="Q49" s="8"/>
    </row>
    <row r="50" spans="1:17" x14ac:dyDescent="0.4">
      <c r="A50" s="8"/>
      <c r="B50" s="13"/>
      <c r="C50" s="13"/>
      <c r="D50" s="24" t="s">
        <v>2672</v>
      </c>
      <c r="E50" s="21"/>
      <c r="F50" s="21"/>
      <c r="G50" s="8"/>
      <c r="H50" s="444"/>
      <c r="I50" s="444"/>
      <c r="J50" s="444"/>
      <c r="K50" s="8"/>
      <c r="L50" s="8"/>
      <c r="M50" s="8"/>
      <c r="N50" s="8"/>
      <c r="O50" s="8"/>
      <c r="P50" s="8"/>
      <c r="Q50" s="8"/>
    </row>
    <row r="51" spans="1:17" x14ac:dyDescent="0.4">
      <c r="A51" s="8"/>
      <c r="B51" s="8"/>
      <c r="C51" s="8"/>
      <c r="D51" s="8"/>
      <c r="E51" s="8"/>
      <c r="F51" s="8"/>
      <c r="G51" s="8"/>
      <c r="H51" s="8"/>
      <c r="I51" s="8"/>
      <c r="J51" s="8"/>
      <c r="K51" s="8"/>
      <c r="L51" s="8"/>
      <c r="M51" s="8"/>
      <c r="N51" s="8"/>
      <c r="O51" s="8"/>
      <c r="P51" s="8"/>
      <c r="Q51" s="8"/>
    </row>
    <row r="52" spans="1:17" x14ac:dyDescent="0.4">
      <c r="A52" s="8"/>
      <c r="B52" s="8"/>
      <c r="C52" s="8"/>
      <c r="D52" s="8"/>
      <c r="E52" s="8"/>
      <c r="F52" s="8"/>
      <c r="G52" s="8"/>
      <c r="H52" s="8"/>
      <c r="I52" s="8"/>
      <c r="J52" s="8"/>
      <c r="K52" s="8"/>
      <c r="L52" s="8"/>
      <c r="M52" s="8"/>
      <c r="N52" s="8"/>
      <c r="O52" s="8"/>
      <c r="P52" s="8"/>
      <c r="Q52" s="8"/>
    </row>
    <row r="53" spans="1:17" x14ac:dyDescent="0.4">
      <c r="A53" s="8"/>
      <c r="B53" s="13" t="s">
        <v>2652</v>
      </c>
      <c r="C53" s="13" t="s">
        <v>2651</v>
      </c>
      <c r="D53" s="8"/>
      <c r="E53" s="8"/>
      <c r="F53" s="8"/>
      <c r="G53" s="8"/>
      <c r="H53" s="8"/>
      <c r="I53" s="8"/>
      <c r="J53" s="8"/>
      <c r="K53" s="8"/>
      <c r="L53" s="8"/>
      <c r="M53" s="8"/>
      <c r="N53" s="8"/>
      <c r="O53" s="8"/>
      <c r="P53" s="8"/>
      <c r="Q53" s="8"/>
    </row>
    <row r="54" spans="1:17" x14ac:dyDescent="0.4">
      <c r="A54" s="8"/>
      <c r="B54" s="13"/>
      <c r="C54" s="13"/>
      <c r="D54" s="23" t="s">
        <v>518</v>
      </c>
      <c r="E54" s="21"/>
      <c r="F54" s="21"/>
      <c r="G54" s="8"/>
      <c r="H54" s="444"/>
      <c r="I54" s="444"/>
      <c r="J54" s="444"/>
      <c r="K54" s="8"/>
      <c r="L54" s="8"/>
      <c r="M54" s="8"/>
      <c r="N54" s="8"/>
      <c r="O54" s="8"/>
      <c r="P54" s="8"/>
      <c r="Q54" s="8"/>
    </row>
    <row r="55" spans="1:17" x14ac:dyDescent="0.4">
      <c r="A55" s="8"/>
      <c r="B55" s="13"/>
      <c r="C55" s="13"/>
      <c r="D55" s="24" t="s">
        <v>2672</v>
      </c>
      <c r="E55" s="21"/>
      <c r="F55" s="21"/>
      <c r="G55" s="8"/>
      <c r="H55" s="444"/>
      <c r="I55" s="444"/>
      <c r="J55" s="444"/>
      <c r="K55" s="8"/>
      <c r="L55" s="8"/>
      <c r="M55" s="8"/>
      <c r="N55" s="8"/>
      <c r="O55" s="8"/>
      <c r="P55" s="8"/>
      <c r="Q55" s="8"/>
    </row>
    <row r="56" spans="1:17" x14ac:dyDescent="0.4">
      <c r="A56" s="8"/>
      <c r="B56" s="8"/>
      <c r="C56" s="8"/>
      <c r="D56" s="8"/>
      <c r="E56" s="8"/>
      <c r="F56" s="8"/>
      <c r="G56" s="8"/>
      <c r="H56" s="8"/>
      <c r="I56" s="8"/>
      <c r="J56" s="8"/>
      <c r="K56" s="8"/>
      <c r="L56" s="8"/>
      <c r="M56" s="8"/>
      <c r="N56" s="8"/>
      <c r="O56" s="8"/>
      <c r="P56" s="8"/>
      <c r="Q56" s="8"/>
    </row>
    <row r="57" spans="1:17" x14ac:dyDescent="0.4">
      <c r="A57" s="8"/>
      <c r="B57" s="8"/>
      <c r="C57" s="8"/>
      <c r="D57" s="8"/>
      <c r="E57" s="8"/>
      <c r="F57" s="8"/>
      <c r="G57" s="8"/>
      <c r="H57" s="8"/>
      <c r="I57" s="8"/>
      <c r="J57" s="8"/>
      <c r="K57" s="8"/>
      <c r="L57" s="8"/>
      <c r="M57" s="8"/>
      <c r="N57" s="8"/>
      <c r="O57" s="8"/>
      <c r="P57" s="8"/>
      <c r="Q57" s="8"/>
    </row>
    <row r="58" spans="1:17" x14ac:dyDescent="0.4">
      <c r="A58" s="8"/>
      <c r="B58" s="13" t="s">
        <v>2653</v>
      </c>
      <c r="C58" s="13" t="s">
        <v>2654</v>
      </c>
      <c r="D58" s="8"/>
      <c r="E58" s="8"/>
      <c r="F58" s="8"/>
      <c r="G58" s="8"/>
      <c r="H58" s="8"/>
      <c r="I58" s="8"/>
      <c r="J58" s="8"/>
      <c r="K58" s="8"/>
      <c r="L58" s="8"/>
      <c r="M58" s="8"/>
      <c r="N58" s="8"/>
      <c r="O58" s="8"/>
      <c r="P58" s="8"/>
      <c r="Q58" s="8"/>
    </row>
    <row r="59" spans="1:17" x14ac:dyDescent="0.4">
      <c r="A59" s="8"/>
      <c r="B59" s="13"/>
      <c r="C59" s="13"/>
      <c r="D59" s="23" t="s">
        <v>9</v>
      </c>
      <c r="E59" s="21"/>
      <c r="F59" s="21"/>
      <c r="G59" s="8"/>
      <c r="H59" s="444"/>
      <c r="I59" s="444"/>
      <c r="J59" s="444"/>
      <c r="K59" s="8"/>
      <c r="L59" s="8"/>
      <c r="M59" s="8"/>
      <c r="N59" s="8"/>
      <c r="O59" s="8"/>
      <c r="P59" s="8"/>
      <c r="Q59" s="8"/>
    </row>
    <row r="60" spans="1:17" x14ac:dyDescent="0.4">
      <c r="A60" s="8"/>
      <c r="B60" s="8"/>
      <c r="C60" s="8"/>
      <c r="D60" s="23" t="s">
        <v>2673</v>
      </c>
      <c r="E60" s="21"/>
      <c r="F60" s="21"/>
      <c r="G60" s="8"/>
      <c r="H60" s="444"/>
      <c r="I60" s="444"/>
      <c r="J60" s="444"/>
      <c r="K60" s="8"/>
      <c r="L60" s="8"/>
      <c r="M60" s="8"/>
      <c r="N60" s="8"/>
      <c r="O60" s="8"/>
      <c r="P60" s="8"/>
      <c r="Q60" s="8"/>
    </row>
    <row r="61" spans="1:17" x14ac:dyDescent="0.4">
      <c r="A61" s="8"/>
      <c r="B61" s="8"/>
      <c r="C61" s="8"/>
      <c r="D61" s="23" t="s">
        <v>10</v>
      </c>
      <c r="E61" s="21"/>
      <c r="F61" s="21"/>
      <c r="G61" s="8"/>
      <c r="H61" s="444"/>
      <c r="I61" s="444"/>
      <c r="J61" s="444"/>
      <c r="K61" s="8"/>
      <c r="L61" s="8"/>
      <c r="M61" s="8"/>
      <c r="N61" s="8"/>
      <c r="O61" s="8"/>
      <c r="P61" s="8"/>
      <c r="Q61" s="8"/>
    </row>
    <row r="62" spans="1:17" x14ac:dyDescent="0.4">
      <c r="A62" s="8"/>
      <c r="B62" s="8"/>
      <c r="C62" s="8"/>
      <c r="D62" s="23" t="s">
        <v>11</v>
      </c>
      <c r="E62" s="21"/>
      <c r="F62" s="21"/>
      <c r="G62" s="8"/>
      <c r="H62" s="444"/>
      <c r="I62" s="444"/>
      <c r="J62" s="444"/>
      <c r="K62" s="8"/>
      <c r="L62" s="8"/>
      <c r="M62" s="8"/>
      <c r="N62" s="8"/>
      <c r="O62" s="8"/>
      <c r="P62" s="8"/>
      <c r="Q62" s="8"/>
    </row>
    <row r="63" spans="1:17" x14ac:dyDescent="0.4">
      <c r="A63" s="8"/>
      <c r="B63" s="8"/>
      <c r="C63" s="8"/>
      <c r="D63" s="8"/>
      <c r="E63" s="8"/>
      <c r="F63" s="8"/>
      <c r="G63" s="8"/>
      <c r="H63" s="8"/>
      <c r="I63" s="8"/>
      <c r="J63" s="8"/>
      <c r="K63" s="8"/>
      <c r="L63" s="8"/>
      <c r="M63" s="8"/>
      <c r="N63" s="8"/>
      <c r="O63" s="8"/>
      <c r="P63" s="8"/>
      <c r="Q63" s="8"/>
    </row>
    <row r="64" spans="1:17" x14ac:dyDescent="0.4">
      <c r="A64" s="8"/>
      <c r="B64" s="8"/>
      <c r="C64" s="8"/>
      <c r="D64" s="8"/>
      <c r="E64" s="8"/>
      <c r="F64" s="8"/>
      <c r="G64" s="8"/>
      <c r="H64" s="8"/>
      <c r="I64" s="8"/>
      <c r="J64" s="8"/>
      <c r="K64" s="8"/>
      <c r="L64" s="8"/>
      <c r="M64" s="8"/>
      <c r="N64" s="8"/>
      <c r="O64" s="8"/>
      <c r="P64" s="8"/>
      <c r="Q64" s="8"/>
    </row>
    <row r="65" spans="1:17" x14ac:dyDescent="0.4">
      <c r="A65" s="8"/>
      <c r="B65" s="13" t="s">
        <v>2656</v>
      </c>
      <c r="C65" s="13" t="s">
        <v>2655</v>
      </c>
      <c r="D65" s="8"/>
      <c r="E65" s="8"/>
      <c r="F65" s="8"/>
      <c r="G65" s="8"/>
      <c r="H65" s="8"/>
      <c r="I65" s="8"/>
      <c r="J65" s="8"/>
      <c r="K65" s="8"/>
      <c r="L65" s="8"/>
      <c r="M65" s="8"/>
      <c r="N65" s="8"/>
      <c r="O65" s="8"/>
      <c r="P65" s="8"/>
      <c r="Q65" s="8"/>
    </row>
    <row r="66" spans="1:17" x14ac:dyDescent="0.4">
      <c r="A66" s="8"/>
      <c r="B66" s="13"/>
      <c r="C66" s="13"/>
      <c r="D66" s="23" t="s">
        <v>2674</v>
      </c>
      <c r="E66" s="21"/>
      <c r="F66" s="21"/>
      <c r="G66" s="8"/>
      <c r="H66" s="444"/>
      <c r="I66" s="444"/>
      <c r="J66" s="444"/>
      <c r="K66" s="8"/>
      <c r="L66" s="8"/>
      <c r="M66" s="8"/>
      <c r="N66" s="8"/>
      <c r="O66" s="8"/>
      <c r="P66" s="8"/>
      <c r="Q66" s="8"/>
    </row>
    <row r="67" spans="1:17" x14ac:dyDescent="0.4">
      <c r="A67" s="8"/>
      <c r="B67" s="8"/>
      <c r="C67" s="8"/>
      <c r="D67" s="23" t="s">
        <v>2675</v>
      </c>
      <c r="E67" s="21"/>
      <c r="F67" s="21"/>
      <c r="G67" s="8"/>
      <c r="H67" s="444"/>
      <c r="I67" s="444"/>
      <c r="J67" s="444"/>
      <c r="K67" s="8"/>
      <c r="L67" s="8"/>
      <c r="M67" s="8"/>
      <c r="N67" s="8"/>
      <c r="O67" s="8"/>
      <c r="P67" s="8"/>
      <c r="Q67" s="8"/>
    </row>
    <row r="68" spans="1:17" x14ac:dyDescent="0.4">
      <c r="A68" s="8"/>
      <c r="B68" s="8"/>
      <c r="C68" s="8"/>
      <c r="D68" s="8"/>
      <c r="E68" s="8"/>
      <c r="F68" s="8"/>
      <c r="G68" s="8"/>
      <c r="H68" s="8"/>
      <c r="I68" s="8"/>
      <c r="J68" s="8"/>
      <c r="K68" s="8"/>
      <c r="L68" s="8"/>
      <c r="M68" s="8"/>
      <c r="N68" s="8"/>
      <c r="O68" s="8"/>
      <c r="P68" s="8"/>
      <c r="Q68" s="8"/>
    </row>
    <row r="69" spans="1:17" x14ac:dyDescent="0.4">
      <c r="A69" s="8"/>
      <c r="B69" s="8"/>
      <c r="C69" s="8"/>
      <c r="D69" s="8"/>
      <c r="E69" s="8"/>
      <c r="F69" s="8"/>
      <c r="G69" s="8"/>
      <c r="H69" s="8"/>
      <c r="I69" s="8"/>
      <c r="J69" s="8"/>
      <c r="K69" s="8"/>
      <c r="L69" s="8"/>
      <c r="M69" s="8"/>
      <c r="N69" s="8"/>
      <c r="O69" s="8"/>
      <c r="P69" s="8"/>
      <c r="Q69" s="8"/>
    </row>
    <row r="70" spans="1:17" x14ac:dyDescent="0.4">
      <c r="A70" s="8"/>
      <c r="B70" s="13" t="s">
        <v>2657</v>
      </c>
      <c r="C70" s="13" t="s">
        <v>2658</v>
      </c>
      <c r="D70" s="8"/>
      <c r="E70" s="8"/>
      <c r="F70" s="8"/>
      <c r="G70" s="8"/>
      <c r="H70" s="8"/>
      <c r="I70" s="8"/>
      <c r="J70" s="8"/>
      <c r="K70" s="8"/>
      <c r="L70" s="8"/>
      <c r="M70" s="8"/>
      <c r="N70" s="8"/>
      <c r="O70" s="8"/>
      <c r="P70" s="8"/>
      <c r="Q70" s="8"/>
    </row>
    <row r="71" spans="1:17" x14ac:dyDescent="0.4">
      <c r="A71" s="8"/>
      <c r="B71" s="13"/>
      <c r="C71" s="13"/>
      <c r="D71" s="23" t="s">
        <v>2678</v>
      </c>
      <c r="E71" s="21"/>
      <c r="F71" s="21"/>
      <c r="G71" s="8"/>
      <c r="H71" s="444"/>
      <c r="I71" s="444"/>
      <c r="J71" s="444"/>
      <c r="K71" s="8"/>
      <c r="L71" s="8"/>
      <c r="M71" s="8"/>
      <c r="N71" s="8"/>
      <c r="O71" s="8"/>
      <c r="P71" s="8"/>
      <c r="Q71" s="8"/>
    </row>
    <row r="72" spans="1:17" x14ac:dyDescent="0.4">
      <c r="A72" s="8"/>
      <c r="B72" s="8"/>
      <c r="C72" s="8"/>
      <c r="D72" s="23" t="s">
        <v>12</v>
      </c>
      <c r="E72" s="21"/>
      <c r="F72" s="21"/>
      <c r="G72" s="8"/>
      <c r="H72" s="444"/>
      <c r="I72" s="444"/>
      <c r="J72" s="444"/>
      <c r="K72" s="8"/>
      <c r="L72" s="8"/>
      <c r="M72" s="8"/>
      <c r="N72" s="8"/>
      <c r="O72" s="8"/>
      <c r="P72" s="8"/>
      <c r="Q72" s="8"/>
    </row>
    <row r="73" spans="1:17" x14ac:dyDescent="0.4">
      <c r="A73" s="8"/>
      <c r="B73" s="8"/>
      <c r="C73" s="8"/>
      <c r="D73" s="23" t="s">
        <v>2677</v>
      </c>
      <c r="E73" s="21"/>
      <c r="F73" s="21"/>
      <c r="G73" s="8"/>
      <c r="H73" s="444"/>
      <c r="I73" s="444"/>
      <c r="J73" s="444"/>
      <c r="K73" s="8"/>
      <c r="L73" s="8"/>
      <c r="M73" s="8"/>
      <c r="N73" s="8"/>
      <c r="O73" s="8"/>
      <c r="P73" s="8"/>
      <c r="Q73" s="8"/>
    </row>
    <row r="74" spans="1:17" x14ac:dyDescent="0.4">
      <c r="A74" s="8"/>
      <c r="B74" s="8"/>
      <c r="C74" s="8"/>
      <c r="D74" s="23" t="s">
        <v>324</v>
      </c>
      <c r="E74" s="21"/>
      <c r="F74" s="21"/>
      <c r="G74" s="8"/>
      <c r="H74" s="444"/>
      <c r="I74" s="444"/>
      <c r="J74" s="444"/>
      <c r="K74" s="8"/>
      <c r="L74" s="8"/>
      <c r="M74" s="8"/>
      <c r="N74" s="8"/>
      <c r="O74" s="8"/>
      <c r="P74" s="8"/>
      <c r="Q74" s="8"/>
    </row>
    <row r="75" spans="1:17" x14ac:dyDescent="0.4">
      <c r="A75" s="8"/>
      <c r="B75" s="8"/>
      <c r="C75" s="8"/>
      <c r="D75" s="23" t="s">
        <v>2676</v>
      </c>
      <c r="E75" s="21"/>
      <c r="F75" s="21"/>
      <c r="G75" s="8"/>
      <c r="H75" s="444"/>
      <c r="I75" s="444"/>
      <c r="J75" s="444"/>
      <c r="K75" s="8"/>
      <c r="L75" s="8"/>
      <c r="M75" s="8"/>
      <c r="N75" s="8"/>
      <c r="O75" s="8"/>
      <c r="P75" s="8"/>
      <c r="Q75" s="8"/>
    </row>
    <row r="76" spans="1:17" x14ac:dyDescent="0.4">
      <c r="A76" s="8"/>
      <c r="B76" s="8"/>
      <c r="C76" s="8"/>
      <c r="D76" s="23" t="s">
        <v>13</v>
      </c>
      <c r="E76" s="21"/>
      <c r="F76" s="21"/>
      <c r="G76" s="8"/>
      <c r="H76" s="444"/>
      <c r="I76" s="444"/>
      <c r="J76" s="444"/>
      <c r="K76" s="8"/>
      <c r="L76" s="8"/>
      <c r="M76" s="8"/>
      <c r="N76" s="8"/>
      <c r="O76" s="8"/>
      <c r="P76" s="8"/>
      <c r="Q76" s="8"/>
    </row>
    <row r="77" spans="1:17" x14ac:dyDescent="0.4">
      <c r="A77" s="8"/>
      <c r="B77" s="8"/>
      <c r="C77" s="8"/>
      <c r="D77" s="8"/>
      <c r="E77" s="8"/>
      <c r="F77" s="8"/>
      <c r="G77" s="8"/>
      <c r="H77" s="8"/>
      <c r="I77" s="8"/>
      <c r="J77" s="8"/>
      <c r="K77" s="8"/>
      <c r="L77" s="8"/>
      <c r="M77" s="8"/>
      <c r="N77" s="8"/>
      <c r="O77" s="8"/>
      <c r="P77" s="8"/>
      <c r="Q77" s="8"/>
    </row>
    <row r="78" spans="1:17" x14ac:dyDescent="0.4">
      <c r="A78" s="8"/>
      <c r="B78" s="8"/>
      <c r="C78" s="8"/>
      <c r="D78" s="8"/>
      <c r="E78" s="8"/>
      <c r="F78" s="8"/>
      <c r="G78" s="8"/>
      <c r="H78" s="8"/>
      <c r="I78" s="8"/>
      <c r="J78" s="8"/>
      <c r="K78" s="8"/>
      <c r="L78" s="8"/>
      <c r="M78" s="8"/>
      <c r="N78" s="8"/>
      <c r="O78" s="8"/>
      <c r="P78" s="8"/>
      <c r="Q78" s="8"/>
    </row>
    <row r="79" spans="1:17" x14ac:dyDescent="0.4">
      <c r="A79" s="8"/>
      <c r="B79" s="13" t="s">
        <v>2660</v>
      </c>
      <c r="C79" s="13" t="s">
        <v>2659</v>
      </c>
      <c r="D79" s="8"/>
      <c r="E79" s="8"/>
      <c r="F79" s="8"/>
      <c r="G79" s="8"/>
      <c r="H79" s="8"/>
      <c r="I79" s="8"/>
      <c r="J79" s="8"/>
      <c r="K79" s="8"/>
      <c r="L79" s="8"/>
      <c r="M79" s="8"/>
      <c r="N79" s="8"/>
      <c r="O79" s="8"/>
      <c r="P79" s="8"/>
      <c r="Q79" s="8"/>
    </row>
    <row r="80" spans="1:17" x14ac:dyDescent="0.4">
      <c r="A80" s="8"/>
      <c r="B80" s="13"/>
      <c r="C80" s="13"/>
      <c r="D80" s="23" t="s">
        <v>2678</v>
      </c>
      <c r="E80" s="21"/>
      <c r="F80" s="21"/>
      <c r="G80" s="8"/>
      <c r="H80" s="444"/>
      <c r="I80" s="444"/>
      <c r="J80" s="444"/>
      <c r="K80" s="8"/>
      <c r="L80" s="8"/>
      <c r="M80" s="8"/>
      <c r="N80" s="8"/>
      <c r="O80" s="8"/>
      <c r="P80" s="8"/>
      <c r="Q80" s="8"/>
    </row>
    <row r="81" spans="1:17" x14ac:dyDescent="0.4">
      <c r="A81" s="8"/>
      <c r="B81" s="8"/>
      <c r="C81" s="8"/>
      <c r="D81" s="23" t="s">
        <v>12</v>
      </c>
      <c r="E81" s="21"/>
      <c r="F81" s="21"/>
      <c r="G81" s="8"/>
      <c r="H81" s="444"/>
      <c r="I81" s="444"/>
      <c r="J81" s="444"/>
      <c r="K81" s="8"/>
      <c r="L81" s="8"/>
      <c r="M81" s="8"/>
      <c r="N81" s="8"/>
      <c r="O81" s="8"/>
      <c r="P81" s="8"/>
      <c r="Q81" s="8"/>
    </row>
    <row r="82" spans="1:17" x14ac:dyDescent="0.4">
      <c r="A82" s="8"/>
      <c r="B82" s="8"/>
      <c r="C82" s="8"/>
      <c r="D82" s="23" t="s">
        <v>2677</v>
      </c>
      <c r="E82" s="21"/>
      <c r="F82" s="21"/>
      <c r="G82" s="8"/>
      <c r="H82" s="444"/>
      <c r="I82" s="444"/>
      <c r="J82" s="444"/>
      <c r="K82" s="8"/>
      <c r="L82" s="8"/>
      <c r="M82" s="8"/>
      <c r="N82" s="8"/>
      <c r="O82" s="8"/>
      <c r="P82" s="8"/>
      <c r="Q82" s="8"/>
    </row>
    <row r="83" spans="1:17" x14ac:dyDescent="0.4">
      <c r="A83" s="8"/>
      <c r="B83" s="8"/>
      <c r="C83" s="8"/>
      <c r="D83" s="23" t="s">
        <v>324</v>
      </c>
      <c r="E83" s="21"/>
      <c r="F83" s="21"/>
      <c r="G83" s="8"/>
      <c r="H83" s="444"/>
      <c r="I83" s="444"/>
      <c r="J83" s="444"/>
      <c r="K83" s="8"/>
      <c r="L83" s="8"/>
      <c r="M83" s="8"/>
      <c r="N83" s="8"/>
      <c r="O83" s="8"/>
      <c r="P83" s="8"/>
      <c r="Q83" s="8"/>
    </row>
    <row r="84" spans="1:17" x14ac:dyDescent="0.4">
      <c r="A84" s="8"/>
      <c r="B84" s="8"/>
      <c r="C84" s="8"/>
      <c r="D84" s="23" t="s">
        <v>2676</v>
      </c>
      <c r="E84" s="21"/>
      <c r="F84" s="21"/>
      <c r="G84" s="8"/>
      <c r="H84" s="444"/>
      <c r="I84" s="444"/>
      <c r="J84" s="444"/>
      <c r="K84" s="8"/>
      <c r="L84" s="8"/>
      <c r="M84" s="8"/>
      <c r="N84" s="8"/>
      <c r="O84" s="8"/>
      <c r="P84" s="8"/>
      <c r="Q84" s="8"/>
    </row>
    <row r="85" spans="1:17" x14ac:dyDescent="0.4">
      <c r="A85" s="8"/>
      <c r="B85" s="8"/>
      <c r="C85" s="8"/>
      <c r="D85" s="23" t="s">
        <v>13</v>
      </c>
      <c r="E85" s="21"/>
      <c r="F85" s="21"/>
      <c r="G85" s="8"/>
      <c r="H85" s="444"/>
      <c r="I85" s="444"/>
      <c r="J85" s="444"/>
      <c r="K85" s="8"/>
      <c r="L85" s="8"/>
      <c r="M85" s="8"/>
      <c r="N85" s="8"/>
      <c r="O85" s="8"/>
      <c r="P85" s="8"/>
      <c r="Q85" s="8"/>
    </row>
    <row r="86" spans="1:17" x14ac:dyDescent="0.4">
      <c r="A86" s="8"/>
      <c r="B86" s="8"/>
      <c r="C86" s="8"/>
      <c r="D86" s="8"/>
      <c r="E86" s="8"/>
      <c r="F86" s="8"/>
      <c r="G86" s="8"/>
      <c r="H86" s="8"/>
      <c r="I86" s="8"/>
      <c r="J86" s="8"/>
      <c r="K86" s="8"/>
      <c r="L86" s="8"/>
      <c r="M86" s="8"/>
      <c r="N86" s="8"/>
      <c r="O86" s="8"/>
      <c r="P86" s="8"/>
      <c r="Q86" s="8"/>
    </row>
    <row r="87" spans="1:17" x14ac:dyDescent="0.4">
      <c r="A87" s="8"/>
      <c r="B87" s="8"/>
      <c r="C87" s="8"/>
      <c r="D87" s="8"/>
      <c r="E87" s="8"/>
      <c r="F87" s="8"/>
      <c r="G87" s="8"/>
      <c r="H87" s="8"/>
      <c r="I87" s="8"/>
      <c r="J87" s="8"/>
      <c r="K87" s="8"/>
      <c r="L87" s="8"/>
      <c r="M87" s="8"/>
      <c r="N87" s="8"/>
      <c r="O87" s="8"/>
      <c r="P87" s="8"/>
      <c r="Q87" s="8"/>
    </row>
    <row r="88" spans="1:17" x14ac:dyDescent="0.4">
      <c r="A88" s="8"/>
      <c r="B88" s="13" t="s">
        <v>2663</v>
      </c>
      <c r="C88" s="13" t="s">
        <v>2661</v>
      </c>
      <c r="D88" s="8"/>
      <c r="E88" s="8"/>
      <c r="F88" s="8"/>
      <c r="G88" s="8"/>
      <c r="H88" s="8"/>
      <c r="I88" s="8"/>
      <c r="J88" s="8"/>
      <c r="K88" s="8"/>
      <c r="L88" s="8"/>
      <c r="M88" s="8"/>
      <c r="N88" s="8"/>
      <c r="O88" s="8"/>
      <c r="P88" s="8"/>
      <c r="Q88" s="8"/>
    </row>
    <row r="89" spans="1:17" x14ac:dyDescent="0.4">
      <c r="A89" s="8"/>
      <c r="B89" s="13"/>
      <c r="C89" s="13"/>
      <c r="D89" s="23" t="s">
        <v>2683</v>
      </c>
      <c r="E89" s="21"/>
      <c r="F89" s="21"/>
      <c r="G89" s="8"/>
      <c r="H89" s="444"/>
      <c r="I89" s="444"/>
      <c r="J89" s="444"/>
      <c r="K89" s="8"/>
      <c r="L89" s="8"/>
      <c r="M89" s="8"/>
      <c r="N89" s="8"/>
      <c r="O89" s="8"/>
      <c r="P89" s="8"/>
      <c r="Q89" s="8"/>
    </row>
    <row r="90" spans="1:17" x14ac:dyDescent="0.4">
      <c r="A90" s="8"/>
      <c r="B90" s="8"/>
      <c r="C90" s="8"/>
      <c r="D90" s="23" t="s">
        <v>2679</v>
      </c>
      <c r="E90" s="21"/>
      <c r="F90" s="21"/>
      <c r="G90" s="8"/>
      <c r="H90" s="444"/>
      <c r="I90" s="444"/>
      <c r="J90" s="444"/>
      <c r="K90" s="8"/>
      <c r="L90" s="8"/>
      <c r="M90" s="8"/>
      <c r="N90" s="8"/>
      <c r="O90" s="8"/>
      <c r="P90" s="8"/>
      <c r="Q90" s="8"/>
    </row>
    <row r="91" spans="1:17" x14ac:dyDescent="0.4">
      <c r="A91" s="8"/>
      <c r="B91" s="8"/>
      <c r="C91" s="8"/>
      <c r="D91" s="8"/>
      <c r="E91" s="8"/>
      <c r="F91" s="8"/>
      <c r="G91" s="8"/>
      <c r="H91" s="8"/>
      <c r="I91" s="8"/>
      <c r="J91" s="8"/>
      <c r="K91" s="8"/>
      <c r="L91" s="8"/>
      <c r="M91" s="8"/>
      <c r="N91" s="8"/>
      <c r="O91" s="8"/>
      <c r="P91" s="8"/>
      <c r="Q91" s="8"/>
    </row>
    <row r="92" spans="1:17" x14ac:dyDescent="0.4">
      <c r="A92" s="8"/>
      <c r="B92" s="8"/>
      <c r="C92" s="8"/>
      <c r="D92" s="8"/>
      <c r="E92" s="8"/>
      <c r="F92" s="8"/>
      <c r="G92" s="8"/>
      <c r="H92" s="8"/>
      <c r="I92" s="8"/>
      <c r="J92" s="8"/>
      <c r="K92" s="8"/>
      <c r="L92" s="8"/>
      <c r="M92" s="8"/>
      <c r="N92" s="8"/>
      <c r="O92" s="8"/>
      <c r="P92" s="8"/>
      <c r="Q92" s="8"/>
    </row>
    <row r="93" spans="1:17" x14ac:dyDescent="0.4">
      <c r="A93" s="8"/>
      <c r="B93" s="13" t="s">
        <v>2664</v>
      </c>
      <c r="C93" s="13" t="s">
        <v>2662</v>
      </c>
      <c r="D93" s="8"/>
      <c r="E93" s="8"/>
      <c r="F93" s="8"/>
      <c r="G93" s="8"/>
      <c r="H93" s="8"/>
      <c r="I93" s="8"/>
      <c r="J93" s="8"/>
      <c r="K93" s="8"/>
      <c r="L93" s="8"/>
      <c r="M93" s="8"/>
      <c r="N93" s="8"/>
      <c r="O93" s="8"/>
      <c r="P93" s="8"/>
      <c r="Q93" s="8"/>
    </row>
    <row r="94" spans="1:17" x14ac:dyDescent="0.4">
      <c r="A94" s="8"/>
      <c r="B94" s="13"/>
      <c r="C94" s="13"/>
      <c r="D94" s="23" t="s">
        <v>2683</v>
      </c>
      <c r="E94" s="21"/>
      <c r="F94" s="21"/>
      <c r="G94" s="8"/>
      <c r="H94" s="444"/>
      <c r="I94" s="444"/>
      <c r="J94" s="444"/>
      <c r="K94" s="8"/>
      <c r="L94" s="8"/>
      <c r="M94" s="8"/>
      <c r="N94" s="8"/>
      <c r="O94" s="8"/>
      <c r="P94" s="8"/>
      <c r="Q94" s="8"/>
    </row>
    <row r="95" spans="1:17" x14ac:dyDescent="0.4">
      <c r="A95" s="8"/>
      <c r="B95" s="8"/>
      <c r="C95" s="8"/>
      <c r="D95" s="23" t="s">
        <v>2680</v>
      </c>
      <c r="E95" s="21"/>
      <c r="F95" s="21"/>
      <c r="G95" s="8"/>
      <c r="H95" s="444"/>
      <c r="I95" s="444"/>
      <c r="J95" s="444"/>
      <c r="K95" s="8"/>
      <c r="L95" s="8"/>
      <c r="M95" s="8"/>
      <c r="N95" s="8"/>
      <c r="O95" s="8"/>
      <c r="P95" s="8"/>
      <c r="Q95" s="8"/>
    </row>
    <row r="96" spans="1:17" x14ac:dyDescent="0.4">
      <c r="A96" s="8"/>
      <c r="B96" s="8"/>
      <c r="C96" s="8"/>
      <c r="D96" s="8"/>
      <c r="E96" s="8"/>
      <c r="F96" s="8"/>
      <c r="G96" s="8"/>
      <c r="H96" s="8"/>
      <c r="I96" s="8"/>
      <c r="J96" s="8"/>
      <c r="K96" s="8"/>
      <c r="L96" s="8"/>
      <c r="M96" s="8"/>
      <c r="N96" s="8"/>
      <c r="O96" s="8"/>
      <c r="P96" s="8"/>
      <c r="Q96" s="8"/>
    </row>
    <row r="97" spans="1:17" x14ac:dyDescent="0.4">
      <c r="A97" s="8"/>
      <c r="B97" s="8"/>
      <c r="C97" s="8"/>
      <c r="D97" s="8"/>
      <c r="E97" s="8"/>
      <c r="F97" s="8"/>
      <c r="G97" s="8"/>
      <c r="H97" s="8"/>
      <c r="I97" s="8"/>
      <c r="J97" s="8"/>
      <c r="K97" s="8"/>
      <c r="L97" s="8"/>
      <c r="M97" s="8"/>
      <c r="N97" s="8"/>
      <c r="O97" s="8"/>
      <c r="P97" s="8"/>
      <c r="Q97" s="8"/>
    </row>
    <row r="98" spans="1:17" x14ac:dyDescent="0.4">
      <c r="A98" s="8"/>
      <c r="B98" s="13" t="s">
        <v>2665</v>
      </c>
      <c r="C98" s="13" t="s">
        <v>2667</v>
      </c>
      <c r="D98" s="8"/>
      <c r="E98" s="8"/>
      <c r="F98" s="8"/>
      <c r="G98" s="8"/>
      <c r="H98" s="8"/>
      <c r="I98" s="8"/>
      <c r="J98" s="8"/>
      <c r="K98" s="8"/>
      <c r="L98" s="8"/>
      <c r="M98" s="8"/>
      <c r="N98" s="8"/>
      <c r="O98" s="8"/>
      <c r="P98" s="8"/>
      <c r="Q98" s="8"/>
    </row>
    <row r="99" spans="1:17" x14ac:dyDescent="0.4">
      <c r="A99" s="8"/>
      <c r="B99" s="13"/>
      <c r="C99" s="13"/>
      <c r="D99" s="23" t="s">
        <v>2683</v>
      </c>
      <c r="E99" s="21"/>
      <c r="F99" s="21"/>
      <c r="G99" s="8"/>
      <c r="H99" s="444"/>
      <c r="I99" s="444"/>
      <c r="J99" s="444"/>
      <c r="K99" s="8"/>
      <c r="L99" s="8"/>
      <c r="M99" s="8"/>
      <c r="N99" s="8"/>
      <c r="O99" s="8"/>
      <c r="P99" s="8"/>
      <c r="Q99" s="8"/>
    </row>
    <row r="100" spans="1:17" x14ac:dyDescent="0.4">
      <c r="A100" s="8"/>
      <c r="B100" s="8"/>
      <c r="C100" s="8"/>
      <c r="D100" s="23" t="s">
        <v>2681</v>
      </c>
      <c r="E100" s="21"/>
      <c r="F100" s="21"/>
      <c r="G100" s="8"/>
      <c r="H100" s="444"/>
      <c r="I100" s="444"/>
      <c r="J100" s="444"/>
      <c r="K100" s="8"/>
      <c r="L100" s="8"/>
      <c r="M100" s="8"/>
      <c r="N100" s="8"/>
      <c r="O100" s="8"/>
      <c r="P100" s="8"/>
      <c r="Q100" s="8"/>
    </row>
    <row r="101" spans="1:17" x14ac:dyDescent="0.4">
      <c r="A101" s="8"/>
      <c r="B101" s="8"/>
      <c r="C101" s="8"/>
      <c r="D101" s="8"/>
      <c r="E101" s="8"/>
      <c r="F101" s="8"/>
      <c r="G101" s="8"/>
      <c r="H101" s="8"/>
      <c r="I101" s="8"/>
      <c r="J101" s="8"/>
      <c r="K101" s="8"/>
      <c r="L101" s="8"/>
      <c r="M101" s="8"/>
      <c r="N101" s="8"/>
      <c r="O101" s="8"/>
      <c r="P101" s="8"/>
      <c r="Q101" s="8"/>
    </row>
    <row r="102" spans="1:17" x14ac:dyDescent="0.4">
      <c r="A102" s="8"/>
      <c r="B102" s="8"/>
      <c r="C102" s="8"/>
      <c r="D102" s="8"/>
      <c r="E102" s="8"/>
      <c r="F102" s="8"/>
      <c r="G102" s="8"/>
      <c r="H102" s="8"/>
      <c r="I102" s="8"/>
      <c r="J102" s="8"/>
      <c r="K102" s="8"/>
      <c r="L102" s="8"/>
      <c r="M102" s="8"/>
      <c r="N102" s="8"/>
      <c r="O102" s="8"/>
      <c r="P102" s="8"/>
      <c r="Q102" s="8"/>
    </row>
    <row r="103" spans="1:17" x14ac:dyDescent="0.4">
      <c r="A103" s="8"/>
      <c r="B103" s="13" t="s">
        <v>2666</v>
      </c>
      <c r="C103" s="13" t="s">
        <v>2668</v>
      </c>
      <c r="D103" s="8"/>
      <c r="E103" s="8"/>
      <c r="F103" s="8"/>
      <c r="G103" s="8"/>
      <c r="H103" s="8"/>
      <c r="I103" s="8"/>
      <c r="J103" s="8"/>
      <c r="K103" s="8"/>
      <c r="L103" s="8"/>
      <c r="M103" s="8"/>
      <c r="N103" s="8"/>
      <c r="O103" s="8"/>
      <c r="P103" s="8"/>
      <c r="Q103" s="8"/>
    </row>
    <row r="104" spans="1:17" x14ac:dyDescent="0.4">
      <c r="A104" s="8"/>
      <c r="B104" s="13"/>
      <c r="C104" s="13"/>
      <c r="D104" s="23" t="s">
        <v>2683</v>
      </c>
      <c r="E104" s="21"/>
      <c r="F104" s="21"/>
      <c r="G104" s="8"/>
      <c r="H104" s="444"/>
      <c r="I104" s="444"/>
      <c r="J104" s="444"/>
      <c r="K104" s="8"/>
      <c r="L104" s="8"/>
      <c r="M104" s="8"/>
      <c r="N104" s="8"/>
      <c r="O104" s="8"/>
      <c r="P104" s="8"/>
      <c r="Q104" s="8"/>
    </row>
    <row r="105" spans="1:17" x14ac:dyDescent="0.4">
      <c r="A105" s="8"/>
      <c r="B105" s="8"/>
      <c r="C105" s="8"/>
      <c r="D105" s="23" t="s">
        <v>2682</v>
      </c>
      <c r="E105" s="21"/>
      <c r="F105" s="21"/>
      <c r="G105" s="8"/>
      <c r="H105" s="444"/>
      <c r="I105" s="444"/>
      <c r="J105" s="444"/>
      <c r="K105" s="8"/>
      <c r="L105" s="8"/>
      <c r="M105" s="8"/>
      <c r="N105" s="8"/>
      <c r="O105" s="8"/>
      <c r="P105" s="8"/>
      <c r="Q105" s="8"/>
    </row>
    <row r="106" spans="1:17" x14ac:dyDescent="0.4">
      <c r="A106" s="8"/>
      <c r="B106" s="8"/>
      <c r="C106" s="8"/>
      <c r="D106" s="8"/>
      <c r="E106" s="8"/>
      <c r="F106" s="8"/>
      <c r="G106" s="8"/>
      <c r="H106" s="8"/>
      <c r="I106" s="8"/>
      <c r="J106" s="8"/>
      <c r="K106" s="8"/>
      <c r="L106" s="8"/>
      <c r="M106" s="8"/>
      <c r="N106" s="8"/>
      <c r="O106" s="8"/>
      <c r="P106" s="8"/>
      <c r="Q106" s="8"/>
    </row>
    <row r="107" spans="1:17" x14ac:dyDescent="0.4">
      <c r="A107" s="8"/>
      <c r="B107" s="8"/>
      <c r="C107" s="8"/>
      <c r="D107" s="8"/>
      <c r="E107" s="8"/>
      <c r="F107" s="8"/>
      <c r="G107" s="8"/>
      <c r="H107" s="8"/>
      <c r="I107" s="8"/>
      <c r="J107" s="8"/>
      <c r="K107" s="8"/>
      <c r="L107" s="8"/>
      <c r="M107" s="8"/>
      <c r="N107" s="8"/>
      <c r="O107" s="8"/>
      <c r="P107" s="8"/>
      <c r="Q107" s="8"/>
    </row>
    <row r="108" spans="1:17" x14ac:dyDescent="0.4">
      <c r="A108" s="8"/>
      <c r="B108" s="13" t="s">
        <v>2669</v>
      </c>
      <c r="C108" s="13" t="s">
        <v>2670</v>
      </c>
      <c r="D108" s="8"/>
      <c r="E108" s="8"/>
      <c r="F108" s="8"/>
      <c r="G108" s="8"/>
      <c r="H108" s="8"/>
      <c r="I108" s="8"/>
      <c r="J108" s="8"/>
      <c r="K108" s="8"/>
      <c r="L108" s="8"/>
      <c r="M108" s="8"/>
      <c r="N108" s="8"/>
      <c r="O108" s="8"/>
      <c r="P108" s="8"/>
      <c r="Q108" s="8"/>
    </row>
    <row r="109" spans="1:17" x14ac:dyDescent="0.4">
      <c r="A109" s="8"/>
      <c r="B109" s="13"/>
      <c r="C109" s="13"/>
      <c r="D109" s="23" t="s">
        <v>2684</v>
      </c>
      <c r="E109" s="21"/>
      <c r="F109" s="21"/>
      <c r="G109" s="8"/>
      <c r="H109" s="444"/>
      <c r="I109" s="444"/>
      <c r="J109" s="444"/>
      <c r="K109" s="8"/>
      <c r="L109" s="8"/>
      <c r="M109" s="8"/>
      <c r="N109" s="8"/>
      <c r="O109" s="8"/>
      <c r="P109" s="8"/>
      <c r="Q109" s="8"/>
    </row>
    <row r="110" spans="1:17" x14ac:dyDescent="0.4">
      <c r="A110" s="8"/>
      <c r="B110" s="8"/>
      <c r="C110" s="8"/>
      <c r="D110" s="23" t="s">
        <v>2685</v>
      </c>
      <c r="E110" s="21"/>
      <c r="F110" s="21"/>
      <c r="G110" s="8"/>
      <c r="H110" s="444"/>
      <c r="I110" s="444"/>
      <c r="J110" s="444"/>
      <c r="K110" s="8"/>
      <c r="L110" s="8"/>
      <c r="M110" s="8"/>
      <c r="N110" s="8"/>
      <c r="O110" s="8"/>
      <c r="P110" s="8"/>
      <c r="Q110" s="8"/>
    </row>
    <row r="111" spans="1:17" x14ac:dyDescent="0.4">
      <c r="A111" s="8"/>
      <c r="B111" s="8"/>
      <c r="C111" s="8"/>
      <c r="D111" s="23" t="s">
        <v>2686</v>
      </c>
      <c r="E111" s="21"/>
      <c r="F111" s="21"/>
      <c r="G111" s="8"/>
      <c r="H111" s="444"/>
      <c r="I111" s="444"/>
      <c r="J111" s="444"/>
      <c r="K111" s="8"/>
      <c r="L111" s="8"/>
      <c r="M111" s="8"/>
      <c r="N111" s="8"/>
      <c r="O111" s="8"/>
      <c r="P111" s="8"/>
      <c r="Q111" s="8"/>
    </row>
    <row r="112" spans="1:17" x14ac:dyDescent="0.4">
      <c r="A112" s="8"/>
      <c r="B112" s="8"/>
      <c r="C112" s="8"/>
      <c r="D112" s="23" t="s">
        <v>2687</v>
      </c>
      <c r="E112" s="21"/>
      <c r="F112" s="21"/>
      <c r="G112" s="8"/>
      <c r="H112" s="444"/>
      <c r="I112" s="444"/>
      <c r="J112" s="444"/>
      <c r="K112" s="8"/>
      <c r="L112" s="8"/>
      <c r="M112" s="8"/>
      <c r="N112" s="8"/>
      <c r="O112" s="8"/>
      <c r="P112" s="8"/>
      <c r="Q112" s="8"/>
    </row>
    <row r="113" spans="1:17" x14ac:dyDescent="0.4">
      <c r="A113" s="8"/>
      <c r="B113" s="8"/>
      <c r="C113" s="8"/>
      <c r="D113" s="23" t="s">
        <v>2688</v>
      </c>
      <c r="E113" s="21"/>
      <c r="F113" s="21"/>
      <c r="G113" s="8"/>
      <c r="H113" s="444"/>
      <c r="I113" s="444"/>
      <c r="J113" s="444"/>
      <c r="K113" s="8"/>
      <c r="L113" s="8"/>
      <c r="M113" s="8"/>
      <c r="N113" s="8"/>
      <c r="O113" s="8"/>
      <c r="P113" s="8"/>
      <c r="Q113" s="8"/>
    </row>
    <row r="114" spans="1:17" x14ac:dyDescent="0.4">
      <c r="A114" s="8"/>
      <c r="B114" s="8"/>
      <c r="C114" s="8"/>
      <c r="D114" s="23" t="s">
        <v>2689</v>
      </c>
      <c r="E114" s="21"/>
      <c r="F114" s="21"/>
      <c r="G114" s="8"/>
      <c r="H114" s="444"/>
      <c r="I114" s="444"/>
      <c r="J114" s="444"/>
      <c r="K114" s="8"/>
      <c r="L114" s="8"/>
      <c r="M114" s="8"/>
      <c r="N114" s="8"/>
      <c r="O114" s="8"/>
      <c r="P114" s="8"/>
      <c r="Q114" s="8"/>
    </row>
    <row r="115" spans="1:17" x14ac:dyDescent="0.4">
      <c r="A115" s="8"/>
      <c r="B115" s="8"/>
      <c r="C115" s="8"/>
      <c r="D115" s="23" t="s">
        <v>2690</v>
      </c>
      <c r="E115" s="21"/>
      <c r="F115" s="21"/>
      <c r="G115" s="8"/>
      <c r="H115" s="444"/>
      <c r="I115" s="444"/>
      <c r="J115" s="444"/>
      <c r="K115" s="8"/>
      <c r="L115" s="8"/>
      <c r="M115" s="8"/>
      <c r="N115" s="8"/>
      <c r="O115" s="8"/>
      <c r="P115" s="8"/>
      <c r="Q115" s="8"/>
    </row>
    <row r="116" spans="1:17" x14ac:dyDescent="0.4">
      <c r="A116" s="8"/>
      <c r="B116" s="8"/>
      <c r="C116" s="8"/>
      <c r="D116" s="23" t="s">
        <v>2691</v>
      </c>
      <c r="E116" s="21"/>
      <c r="F116" s="21"/>
      <c r="G116" s="8"/>
      <c r="H116" s="444"/>
      <c r="I116" s="444"/>
      <c r="J116" s="444"/>
      <c r="K116" s="8"/>
      <c r="L116" s="8"/>
      <c r="M116" s="8"/>
      <c r="N116" s="8"/>
      <c r="O116" s="8"/>
      <c r="P116" s="8"/>
      <c r="Q116" s="8"/>
    </row>
    <row r="117" spans="1:17" x14ac:dyDescent="0.4">
      <c r="A117" s="8"/>
      <c r="B117" s="8"/>
      <c r="C117" s="8"/>
      <c r="D117" s="23" t="s">
        <v>2692</v>
      </c>
      <c r="E117" s="21"/>
      <c r="F117" s="21"/>
      <c r="G117" s="8"/>
      <c r="H117" s="444"/>
      <c r="I117" s="444"/>
      <c r="J117" s="444"/>
      <c r="K117" s="8"/>
      <c r="L117" s="8"/>
      <c r="M117" s="8"/>
      <c r="N117" s="8"/>
      <c r="O117" s="8"/>
      <c r="P117" s="8"/>
      <c r="Q117" s="8"/>
    </row>
    <row r="118" spans="1:17" x14ac:dyDescent="0.4">
      <c r="A118" s="8"/>
      <c r="B118" s="8"/>
      <c r="C118" s="8"/>
      <c r="D118" s="8"/>
      <c r="E118" s="8"/>
      <c r="F118" s="8"/>
      <c r="G118" s="8"/>
      <c r="H118" s="8"/>
      <c r="I118" s="8"/>
      <c r="J118" s="8"/>
      <c r="K118" s="8"/>
      <c r="L118" s="8"/>
      <c r="M118" s="8"/>
      <c r="N118" s="8"/>
      <c r="O118" s="8"/>
      <c r="P118" s="8"/>
      <c r="Q118" s="8"/>
    </row>
    <row r="119" spans="1:17" x14ac:dyDescent="0.4">
      <c r="A119" s="117"/>
      <c r="B119" s="117"/>
      <c r="C119" s="117"/>
      <c r="D119" s="8"/>
      <c r="E119" s="117"/>
      <c r="F119" s="117"/>
      <c r="G119" s="117"/>
      <c r="H119" s="117"/>
      <c r="I119" s="117"/>
      <c r="J119" s="117"/>
      <c r="K119" s="117"/>
      <c r="L119" s="117"/>
      <c r="M119" s="117"/>
      <c r="N119" s="117"/>
      <c r="O119" s="117"/>
      <c r="P119" s="117"/>
      <c r="Q119" s="117"/>
    </row>
    <row r="120" spans="1:17" x14ac:dyDescent="0.4">
      <c r="A120" s="117"/>
      <c r="B120" s="117"/>
      <c r="C120" s="117"/>
      <c r="D120" s="8"/>
      <c r="E120" s="117"/>
      <c r="F120" s="117"/>
      <c r="G120" s="117"/>
      <c r="H120" s="117"/>
      <c r="I120" s="117"/>
      <c r="J120" s="117"/>
      <c r="K120" s="117"/>
      <c r="L120" s="117"/>
      <c r="M120" s="117"/>
      <c r="N120" s="117"/>
      <c r="O120" s="117"/>
      <c r="P120" s="117"/>
      <c r="Q120" s="117"/>
    </row>
    <row r="121" spans="1:17" x14ac:dyDescent="0.4">
      <c r="A121" s="117"/>
      <c r="B121" s="117"/>
      <c r="C121" s="117"/>
      <c r="D121" s="8"/>
      <c r="E121" s="117"/>
      <c r="F121" s="117"/>
      <c r="G121" s="117"/>
      <c r="H121" s="117"/>
      <c r="I121" s="117"/>
      <c r="J121" s="117"/>
      <c r="K121" s="117"/>
      <c r="L121" s="117"/>
      <c r="M121" s="117"/>
      <c r="N121" s="117"/>
      <c r="O121" s="117"/>
      <c r="P121" s="117"/>
      <c r="Q121" s="117"/>
    </row>
  </sheetData>
  <sheetProtection algorithmName="SHA-512" hashValue="+rfJOT5BU+M0aQuHlisMIWft/RV1Z81qwbQfE7Z4E00VQPoUzaFNBf2RmvTsbcRzBciXYmRVLUJlHaPTWyNV/w==" saltValue="hrl0UhEIM/mw6U+JADjX3g==" spinCount="100000" sheet="1" objects="1" scenarios="1"/>
  <phoneticPr fontId="15" type="noConversion"/>
  <conditionalFormatting sqref="H9:H16 H20:H23 H27:H29 H33:H35 H39:H40 H44:H45 H49:H50 H54:H55 H59:H62 H66:H67 H89:H90 H94:H95 H99:H100 H104:H105">
    <cfRule type="expression" dxfId="74" priority="72">
      <formula>$H9="X"</formula>
    </cfRule>
  </conditionalFormatting>
  <conditionalFormatting sqref="H71:H76">
    <cfRule type="expression" dxfId="73" priority="21">
      <formula>$H71="X"</formula>
    </cfRule>
  </conditionalFormatting>
  <conditionalFormatting sqref="H80:H85">
    <cfRule type="expression" dxfId="72" priority="18">
      <formula>$H80="X"</formula>
    </cfRule>
  </conditionalFormatting>
  <conditionalFormatting sqref="H109:H117">
    <cfRule type="expression" dxfId="71" priority="3">
      <formula>$H109="X"</formula>
    </cfRule>
  </conditionalFormatting>
  <conditionalFormatting sqref="I9:I16 I20:I23 I27:I29 I33:I35 I39:I40 I44:I45 I49:I50 I54:I55 I59:I62 I66:I67 I89:I90 I94:I95 I99:I100 I104:I105">
    <cfRule type="expression" dxfId="70" priority="70">
      <formula>$I9="x"</formula>
    </cfRule>
  </conditionalFormatting>
  <conditionalFormatting sqref="I71:I76">
    <cfRule type="expression" dxfId="69" priority="19">
      <formula>$I71="x"</formula>
    </cfRule>
  </conditionalFormatting>
  <conditionalFormatting sqref="I80:I85">
    <cfRule type="expression" dxfId="68" priority="16">
      <formula>$I80="x"</formula>
    </cfRule>
  </conditionalFormatting>
  <conditionalFormatting sqref="I109:I117">
    <cfRule type="expression" dxfId="67" priority="1">
      <formula>$I109="x"</formula>
    </cfRule>
  </conditionalFormatting>
  <conditionalFormatting sqref="J9:J16 J20:J23 J27:J29 J33:J35 J39:J40 J44:J45 J49:J50 J54:J55 J59:J62 J66:J67 J89:J90 J94:J95 J99:J100 J104:J105">
    <cfRule type="expression" dxfId="66" priority="71">
      <formula>$J9="X"</formula>
    </cfRule>
  </conditionalFormatting>
  <conditionalFormatting sqref="J71:J76">
    <cfRule type="expression" dxfId="65" priority="20">
      <formula>$J71="X"</formula>
    </cfRule>
  </conditionalFormatting>
  <conditionalFormatting sqref="J80:J85">
    <cfRule type="expression" dxfId="64" priority="17">
      <formula>$J80="X"</formula>
    </cfRule>
  </conditionalFormatting>
  <conditionalFormatting sqref="J109:J117">
    <cfRule type="expression" dxfId="63" priority="2">
      <formula>$J109="X"</formula>
    </cfRule>
  </conditionalFormatting>
  <dataValidations count="1">
    <dataValidation type="custom" allowBlank="1" showErrorMessage="1" errorTitle="Invalid Info" error="Put x or leave it blank_x000a_" sqref="H9:J16 H39:J40 H20:J23 H44:J45 H49:J50 H54:J55 H59:J62 H66:J67 H71:J76 H80:J85 H89:J90 H94:J95 H99:J100 H104:J105 H109:J117 H33:J35 H27:J29" xr:uid="{E477FADC-5273-4C54-885C-7C3620700845}">
      <formula1>H9="x"</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4EB1-4F3B-4CA1-8C1C-DF08B0CFD47D}">
  <sheetPr codeName="Sheet2"/>
  <dimension ref="A2:R51"/>
  <sheetViews>
    <sheetView showGridLines="0" workbookViewId="0"/>
  </sheetViews>
  <sheetFormatPr defaultColWidth="9.1796875" defaultRowHeight="16" x14ac:dyDescent="0.45"/>
  <cols>
    <col min="1" max="1" width="3" style="25" bestFit="1" customWidth="1"/>
    <col min="2" max="2" width="0.81640625" style="25" customWidth="1"/>
    <col min="3" max="3" width="35.7265625" style="25" customWidth="1"/>
    <col min="4" max="4" width="0.81640625" style="25" customWidth="1"/>
    <col min="5" max="5" width="27.26953125" style="25" customWidth="1"/>
    <col min="6" max="6" width="0.81640625" style="25" customWidth="1"/>
    <col min="7" max="7" width="27.26953125" style="25" customWidth="1"/>
    <col min="8" max="8" width="0.81640625" style="25" customWidth="1"/>
    <col min="9" max="9" width="14" style="25" customWidth="1"/>
    <col min="10" max="10" width="9.7265625" style="25" bestFit="1" customWidth="1"/>
    <col min="11" max="11" width="9.26953125" style="25" bestFit="1" customWidth="1"/>
    <col min="12" max="12" width="10.1796875" style="25" bestFit="1" customWidth="1"/>
    <col min="13" max="15" width="7.453125" style="25" customWidth="1"/>
    <col min="16" max="16384" width="9.1796875" style="25"/>
  </cols>
  <sheetData>
    <row r="2" spans="1:18" x14ac:dyDescent="0.45">
      <c r="B2" s="133"/>
      <c r="C2" s="133"/>
      <c r="D2" s="133"/>
      <c r="E2" s="126"/>
      <c r="F2" s="126"/>
      <c r="G2" s="126"/>
      <c r="H2" s="126"/>
      <c r="I2" s="126"/>
      <c r="J2" s="126"/>
      <c r="K2" s="126"/>
      <c r="L2" s="126"/>
      <c r="M2" s="126"/>
      <c r="N2" s="126"/>
      <c r="O2" s="126"/>
      <c r="P2" s="126"/>
      <c r="Q2" s="126"/>
      <c r="R2" s="126"/>
    </row>
    <row r="3" spans="1:18" x14ac:dyDescent="0.45">
      <c r="B3" s="127" t="s">
        <v>326</v>
      </c>
      <c r="C3" s="128"/>
      <c r="D3" s="126"/>
      <c r="E3" s="126"/>
      <c r="F3" s="126"/>
      <c r="G3" s="126"/>
      <c r="H3" s="126"/>
      <c r="I3" s="126"/>
      <c r="J3" s="126"/>
      <c r="K3" s="126"/>
      <c r="L3" s="126"/>
      <c r="M3" s="126"/>
      <c r="N3" s="126"/>
      <c r="O3" s="126"/>
      <c r="P3" s="126"/>
      <c r="Q3" s="126"/>
      <c r="R3" s="126"/>
    </row>
    <row r="4" spans="1:18" x14ac:dyDescent="0.45">
      <c r="B4" s="128" t="s">
        <v>364</v>
      </c>
      <c r="C4" s="126"/>
      <c r="D4" s="126"/>
      <c r="E4" s="126"/>
      <c r="F4" s="126"/>
      <c r="G4" s="126"/>
      <c r="H4" s="126"/>
      <c r="I4" s="126"/>
      <c r="J4" s="126"/>
      <c r="K4" s="126"/>
      <c r="L4" s="126"/>
      <c r="M4" s="126"/>
      <c r="N4" s="126"/>
      <c r="O4" s="126"/>
      <c r="P4" s="126"/>
      <c r="Q4" s="126"/>
      <c r="R4" s="126"/>
    </row>
    <row r="7" spans="1:18" x14ac:dyDescent="0.45">
      <c r="A7" s="51"/>
      <c r="B7" s="51"/>
      <c r="C7" s="134" t="s">
        <v>327</v>
      </c>
      <c r="D7" s="134"/>
      <c r="E7" s="134"/>
      <c r="F7" s="134"/>
      <c r="G7" s="51"/>
      <c r="H7" s="51"/>
      <c r="I7" s="51"/>
      <c r="J7" s="51"/>
      <c r="K7" s="51"/>
      <c r="L7" s="51"/>
      <c r="M7" s="51"/>
      <c r="N7" s="51"/>
      <c r="O7" s="51"/>
    </row>
    <row r="9" spans="1:18" x14ac:dyDescent="0.45">
      <c r="C9" s="135" t="s">
        <v>16</v>
      </c>
      <c r="D9" s="136"/>
      <c r="E9" s="137"/>
      <c r="F9" s="136"/>
      <c r="G9" s="137"/>
      <c r="H9" s="136"/>
      <c r="I9" s="136"/>
      <c r="J9" s="136"/>
      <c r="K9" s="136"/>
      <c r="L9" s="136"/>
      <c r="M9" s="136"/>
      <c r="N9" s="136"/>
      <c r="O9" s="136"/>
    </row>
    <row r="11" spans="1:18" x14ac:dyDescent="0.45">
      <c r="A11" s="51"/>
      <c r="B11" s="138"/>
      <c r="C11" s="126" t="s">
        <v>328</v>
      </c>
      <c r="D11" s="126"/>
      <c r="E11" s="126"/>
      <c r="F11" s="126"/>
      <c r="G11" s="126"/>
      <c r="H11" s="126"/>
      <c r="I11" s="126"/>
      <c r="J11" s="126"/>
      <c r="K11" s="126"/>
      <c r="L11" s="126"/>
      <c r="M11" s="126"/>
      <c r="N11" s="126"/>
      <c r="O11" s="126"/>
      <c r="P11" s="51"/>
      <c r="Q11" s="51"/>
    </row>
    <row r="13" spans="1:18" x14ac:dyDescent="0.45">
      <c r="A13" s="126">
        <v>1</v>
      </c>
      <c r="C13" s="25" t="s">
        <v>329</v>
      </c>
      <c r="E13" s="25" t="s">
        <v>330</v>
      </c>
    </row>
    <row r="15" spans="1:18" x14ac:dyDescent="0.45">
      <c r="A15" s="126">
        <v>2</v>
      </c>
      <c r="C15" s="25" t="s">
        <v>331</v>
      </c>
      <c r="E15" s="25" t="s">
        <v>332</v>
      </c>
    </row>
    <row r="17" spans="1:5" x14ac:dyDescent="0.45">
      <c r="A17" s="126">
        <v>3</v>
      </c>
      <c r="C17" s="25" t="s">
        <v>333</v>
      </c>
      <c r="E17" s="25" t="s">
        <v>334</v>
      </c>
    </row>
    <row r="19" spans="1:5" x14ac:dyDescent="0.45">
      <c r="A19" s="126">
        <v>4</v>
      </c>
      <c r="C19" s="25" t="s">
        <v>335</v>
      </c>
      <c r="E19" s="25" t="s">
        <v>336</v>
      </c>
    </row>
    <row r="21" spans="1:5" x14ac:dyDescent="0.45">
      <c r="A21" s="126">
        <v>5</v>
      </c>
      <c r="C21" s="25" t="s">
        <v>337</v>
      </c>
      <c r="E21" s="25" t="s">
        <v>338</v>
      </c>
    </row>
    <row r="23" spans="1:5" x14ac:dyDescent="0.45">
      <c r="A23" s="126">
        <v>6</v>
      </c>
      <c r="C23" s="25" t="s">
        <v>339</v>
      </c>
      <c r="E23" s="139" t="s">
        <v>340</v>
      </c>
    </row>
    <row r="25" spans="1:5" x14ac:dyDescent="0.45">
      <c r="A25" s="126">
        <v>7</v>
      </c>
      <c r="C25" s="25" t="s">
        <v>341</v>
      </c>
      <c r="E25" s="139" t="s">
        <v>340</v>
      </c>
    </row>
    <row r="26" spans="1:5" x14ac:dyDescent="0.45">
      <c r="B26" s="51"/>
    </row>
    <row r="27" spans="1:5" x14ac:dyDescent="0.45">
      <c r="A27" s="126">
        <v>8</v>
      </c>
      <c r="C27" s="25" t="s">
        <v>342</v>
      </c>
      <c r="E27" s="139" t="s">
        <v>340</v>
      </c>
    </row>
    <row r="29" spans="1:5" x14ac:dyDescent="0.45">
      <c r="A29" s="126">
        <v>9</v>
      </c>
      <c r="C29" s="25" t="s">
        <v>343</v>
      </c>
      <c r="E29" s="139" t="s">
        <v>340</v>
      </c>
    </row>
    <row r="33" spans="1:17" x14ac:dyDescent="0.45">
      <c r="B33" s="138"/>
      <c r="C33" s="126" t="s">
        <v>344</v>
      </c>
      <c r="D33" s="126"/>
      <c r="E33" s="126"/>
      <c r="F33" s="126"/>
      <c r="G33" s="126"/>
      <c r="H33" s="126"/>
      <c r="I33" s="126" t="s">
        <v>345</v>
      </c>
      <c r="J33" s="126"/>
      <c r="K33" s="126"/>
      <c r="L33" s="126"/>
      <c r="M33" s="126"/>
      <c r="N33" s="126"/>
      <c r="O33" s="126"/>
      <c r="P33" s="51"/>
      <c r="Q33" s="51"/>
    </row>
    <row r="35" spans="1:17" x14ac:dyDescent="0.45">
      <c r="A35" s="126">
        <v>10</v>
      </c>
      <c r="C35" s="25" t="s">
        <v>346</v>
      </c>
      <c r="E35" s="25" t="s">
        <v>347</v>
      </c>
      <c r="I35" s="140">
        <v>0.75</v>
      </c>
    </row>
    <row r="37" spans="1:17" x14ac:dyDescent="0.45">
      <c r="A37" s="126">
        <v>11</v>
      </c>
      <c r="C37" s="25" t="s">
        <v>348</v>
      </c>
      <c r="E37" s="25" t="s">
        <v>349</v>
      </c>
      <c r="I37" s="25">
        <v>45000</v>
      </c>
    </row>
    <row r="39" spans="1:17" x14ac:dyDescent="0.45">
      <c r="A39" s="126">
        <v>12</v>
      </c>
      <c r="C39" s="25" t="s">
        <v>350</v>
      </c>
      <c r="E39" s="25" t="s">
        <v>351</v>
      </c>
      <c r="I39" s="25">
        <v>0.89</v>
      </c>
    </row>
    <row r="41" spans="1:17" x14ac:dyDescent="0.45">
      <c r="A41" s="126">
        <v>13</v>
      </c>
      <c r="C41" s="25" t="s">
        <v>352</v>
      </c>
      <c r="E41" s="25" t="s">
        <v>353</v>
      </c>
      <c r="I41" s="25">
        <v>44016</v>
      </c>
    </row>
    <row r="43" spans="1:17" x14ac:dyDescent="0.45">
      <c r="A43" s="126">
        <v>14</v>
      </c>
      <c r="C43" s="25" t="s">
        <v>354</v>
      </c>
      <c r="E43" s="25" t="s">
        <v>355</v>
      </c>
      <c r="I43" s="25">
        <v>54600</v>
      </c>
    </row>
    <row r="45" spans="1:17" x14ac:dyDescent="0.45">
      <c r="A45" s="126">
        <v>15</v>
      </c>
      <c r="C45" s="25" t="s">
        <v>356</v>
      </c>
      <c r="E45" s="25" t="s">
        <v>357</v>
      </c>
      <c r="I45" s="25">
        <v>0.76</v>
      </c>
    </row>
    <row r="47" spans="1:17" x14ac:dyDescent="0.45">
      <c r="A47" s="126">
        <v>16</v>
      </c>
      <c r="C47" s="25" t="s">
        <v>358</v>
      </c>
      <c r="E47" s="25" t="s">
        <v>359</v>
      </c>
      <c r="I47" s="25">
        <v>1200000</v>
      </c>
    </row>
    <row r="49" spans="1:9" x14ac:dyDescent="0.45">
      <c r="A49" s="126">
        <v>17</v>
      </c>
      <c r="C49" s="25" t="s">
        <v>385</v>
      </c>
      <c r="E49" s="25" t="s">
        <v>543</v>
      </c>
      <c r="I49" s="25">
        <v>548626970</v>
      </c>
    </row>
    <row r="51" spans="1:9" x14ac:dyDescent="0.45">
      <c r="A51" s="126">
        <v>18</v>
      </c>
      <c r="C51" s="25" t="s">
        <v>386</v>
      </c>
      <c r="E51" s="25" t="s">
        <v>543</v>
      </c>
      <c r="I51" s="25">
        <v>934090032145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0B12B-6B88-44D2-A5FD-A12A1B3AB147}">
  <sheetPr codeName="Sheet7"/>
  <dimension ref="A2:N47"/>
  <sheetViews>
    <sheetView showGridLines="0" workbookViewId="0"/>
  </sheetViews>
  <sheetFormatPr defaultColWidth="9.1796875" defaultRowHeight="16" x14ac:dyDescent="0.45"/>
  <cols>
    <col min="1" max="1" width="2.7265625" style="25" customWidth="1"/>
    <col min="2" max="2" width="5.54296875" style="25" customWidth="1"/>
    <col min="3" max="3" width="11" style="25" customWidth="1"/>
    <col min="4" max="4" width="17.453125" style="25" customWidth="1"/>
    <col min="5" max="5" width="18.54296875" style="25" bestFit="1" customWidth="1"/>
    <col min="6" max="6" width="19.1796875" style="25" customWidth="1"/>
    <col min="7" max="7" width="17.453125" style="25" customWidth="1"/>
    <col min="8" max="8" width="18.36328125" style="25" customWidth="1"/>
    <col min="9" max="10" width="17.453125" style="25" customWidth="1"/>
    <col min="11" max="11" width="10.81640625" style="25" customWidth="1"/>
    <col min="12" max="12" width="9.1796875" style="25"/>
    <col min="13" max="13" width="15.81640625" style="25" bestFit="1" customWidth="1"/>
    <col min="14" max="16384" width="9.1796875" style="25"/>
  </cols>
  <sheetData>
    <row r="2" spans="1:14" x14ac:dyDescent="0.45">
      <c r="B2" s="126"/>
      <c r="C2" s="126"/>
      <c r="D2" s="126"/>
      <c r="E2" s="126"/>
      <c r="F2" s="126"/>
      <c r="G2" s="126"/>
      <c r="H2" s="126"/>
      <c r="I2" s="126"/>
      <c r="J2" s="126"/>
      <c r="K2" s="126"/>
      <c r="L2" s="126"/>
      <c r="M2" s="126"/>
      <c r="N2" s="126"/>
    </row>
    <row r="3" spans="1:14" x14ac:dyDescent="0.45">
      <c r="B3" s="127" t="s">
        <v>326</v>
      </c>
      <c r="C3" s="128"/>
      <c r="D3" s="126"/>
      <c r="E3" s="126"/>
      <c r="F3" s="126"/>
      <c r="G3" s="126"/>
      <c r="H3" s="126"/>
      <c r="I3" s="126"/>
      <c r="J3" s="126"/>
      <c r="K3" s="126"/>
      <c r="L3" s="126"/>
      <c r="M3" s="126"/>
      <c r="N3" s="126"/>
    </row>
    <row r="4" spans="1:14" x14ac:dyDescent="0.45">
      <c r="B4" s="128" t="s">
        <v>364</v>
      </c>
      <c r="C4" s="126"/>
      <c r="D4" s="126"/>
      <c r="E4" s="126"/>
      <c r="F4" s="126"/>
      <c r="G4" s="126"/>
      <c r="H4" s="126"/>
      <c r="I4" s="126"/>
      <c r="J4" s="126"/>
      <c r="K4" s="126"/>
      <c r="L4" s="126"/>
      <c r="M4" s="126"/>
      <c r="N4" s="126"/>
    </row>
    <row r="6" spans="1:14" x14ac:dyDescent="0.45">
      <c r="A6" s="25" t="s">
        <v>14</v>
      </c>
      <c r="B6" s="124" t="s">
        <v>360</v>
      </c>
      <c r="C6" s="124"/>
      <c r="D6" s="124"/>
      <c r="E6" s="124"/>
      <c r="F6" s="124"/>
      <c r="G6" s="124"/>
      <c r="H6" s="124"/>
      <c r="I6" s="124"/>
      <c r="J6" s="130"/>
      <c r="K6" s="130"/>
    </row>
    <row r="8" spans="1:14" x14ac:dyDescent="0.45">
      <c r="B8" s="110">
        <v>1</v>
      </c>
      <c r="C8" s="25" t="s">
        <v>361</v>
      </c>
    </row>
    <row r="9" spans="1:14" x14ac:dyDescent="0.45">
      <c r="G9" s="111" t="s">
        <v>362</v>
      </c>
      <c r="H9" s="112">
        <v>0.1</v>
      </c>
    </row>
    <row r="11" spans="1:14" x14ac:dyDescent="0.45">
      <c r="C11" s="125" t="s">
        <v>363</v>
      </c>
      <c r="D11" s="125"/>
      <c r="E11" s="125"/>
      <c r="F11" s="125"/>
      <c r="G11" s="125"/>
      <c r="H11" s="125"/>
      <c r="I11" s="125"/>
      <c r="J11" s="125"/>
    </row>
    <row r="12" spans="1:14" x14ac:dyDescent="0.45">
      <c r="C12" s="446" t="s">
        <v>39</v>
      </c>
      <c r="D12" s="453" t="s">
        <v>75</v>
      </c>
      <c r="E12" s="447" t="s">
        <v>20</v>
      </c>
      <c r="F12" s="447" t="s">
        <v>318</v>
      </c>
      <c r="G12" s="447" t="s">
        <v>76</v>
      </c>
      <c r="H12" s="447" t="s">
        <v>77</v>
      </c>
      <c r="I12" s="447" t="s">
        <v>21</v>
      </c>
      <c r="J12" s="448" t="s">
        <v>22</v>
      </c>
      <c r="K12" s="447" t="s">
        <v>2534</v>
      </c>
    </row>
    <row r="13" spans="1:14" x14ac:dyDescent="0.45">
      <c r="C13" s="445" t="s">
        <v>40</v>
      </c>
      <c r="D13" s="131">
        <v>36566</v>
      </c>
      <c r="E13" s="131" t="s">
        <v>23</v>
      </c>
      <c r="F13" s="105" t="s">
        <v>321</v>
      </c>
      <c r="G13" s="105">
        <v>13</v>
      </c>
      <c r="H13" s="132" t="s">
        <v>25</v>
      </c>
      <c r="I13" s="105">
        <v>4</v>
      </c>
      <c r="J13" s="455">
        <v>24016</v>
      </c>
      <c r="K13" s="25">
        <f>HRData[[#This Row],[Salary]]*$H$9</f>
        <v>2401.6</v>
      </c>
    </row>
    <row r="14" spans="1:14" x14ac:dyDescent="0.45">
      <c r="C14" s="445" t="s">
        <v>41</v>
      </c>
      <c r="D14" s="131">
        <v>37466</v>
      </c>
      <c r="E14" s="131" t="s">
        <v>24</v>
      </c>
      <c r="F14" s="105" t="s">
        <v>316</v>
      </c>
      <c r="G14" s="105">
        <v>14</v>
      </c>
      <c r="H14" s="132" t="s">
        <v>25</v>
      </c>
      <c r="I14" s="105">
        <v>3</v>
      </c>
      <c r="J14" s="455">
        <v>20160</v>
      </c>
      <c r="K14" s="25">
        <f>HRData[[#This Row],[Salary]]*$H$9</f>
        <v>2016</v>
      </c>
    </row>
    <row r="15" spans="1:14" x14ac:dyDescent="0.45">
      <c r="C15" s="445" t="s">
        <v>42</v>
      </c>
      <c r="D15" s="131">
        <v>39960</v>
      </c>
      <c r="E15" s="131" t="s">
        <v>26</v>
      </c>
      <c r="F15" s="105" t="s">
        <v>319</v>
      </c>
      <c r="G15" s="105">
        <v>19</v>
      </c>
      <c r="H15" s="132" t="s">
        <v>25</v>
      </c>
      <c r="I15" s="105">
        <v>2</v>
      </c>
      <c r="J15" s="455">
        <v>7014</v>
      </c>
      <c r="K15" s="25">
        <f>HRData[[#This Row],[Salary]]*$H$9</f>
        <v>701.40000000000009</v>
      </c>
    </row>
    <row r="16" spans="1:14" x14ac:dyDescent="0.45">
      <c r="C16" s="445" t="s">
        <v>43</v>
      </c>
      <c r="D16" s="131">
        <v>39210</v>
      </c>
      <c r="E16" s="131" t="s">
        <v>28</v>
      </c>
      <c r="F16" s="105" t="s">
        <v>314</v>
      </c>
      <c r="G16" s="105">
        <v>14</v>
      </c>
      <c r="H16" s="132" t="s">
        <v>25</v>
      </c>
      <c r="I16" s="105">
        <v>4</v>
      </c>
      <c r="J16" s="455">
        <v>8554</v>
      </c>
      <c r="K16" s="25">
        <f>HRData[[#This Row],[Salary]]*$H$9</f>
        <v>855.40000000000009</v>
      </c>
    </row>
    <row r="17" spans="3:11" x14ac:dyDescent="0.45">
      <c r="C17" s="445" t="s">
        <v>44</v>
      </c>
      <c r="D17" s="131">
        <v>40495</v>
      </c>
      <c r="E17" s="131" t="s">
        <v>29</v>
      </c>
      <c r="F17" s="105" t="s">
        <v>315</v>
      </c>
      <c r="G17" s="105">
        <v>15</v>
      </c>
      <c r="H17" s="132" t="s">
        <v>25</v>
      </c>
      <c r="I17" s="105">
        <v>3</v>
      </c>
      <c r="J17" s="455">
        <v>8508</v>
      </c>
      <c r="K17" s="25">
        <f>HRData[[#This Row],[Salary]]*$H$9</f>
        <v>850.80000000000007</v>
      </c>
    </row>
    <row r="18" spans="3:11" x14ac:dyDescent="0.45">
      <c r="C18" s="445" t="s">
        <v>45</v>
      </c>
      <c r="D18" s="131">
        <v>40970</v>
      </c>
      <c r="E18" s="131" t="s">
        <v>30</v>
      </c>
      <c r="F18" s="105" t="s">
        <v>316</v>
      </c>
      <c r="G18" s="105">
        <v>9</v>
      </c>
      <c r="H18" s="132" t="s">
        <v>27</v>
      </c>
      <c r="I18" s="105">
        <v>2</v>
      </c>
      <c r="J18" s="455">
        <v>9568</v>
      </c>
      <c r="K18" s="25">
        <f>HRData[[#This Row],[Salary]]*$H$9</f>
        <v>956.80000000000007</v>
      </c>
    </row>
    <row r="19" spans="3:11" x14ac:dyDescent="0.45">
      <c r="C19" s="445" t="s">
        <v>46</v>
      </c>
      <c r="D19" s="131">
        <v>41695</v>
      </c>
      <c r="E19" s="131" t="s">
        <v>31</v>
      </c>
      <c r="F19" s="105" t="s">
        <v>316</v>
      </c>
      <c r="G19" s="105">
        <v>5</v>
      </c>
      <c r="H19" s="132" t="s">
        <v>78</v>
      </c>
      <c r="I19" s="105">
        <v>3</v>
      </c>
      <c r="J19" s="455">
        <v>3004</v>
      </c>
      <c r="K19" s="25">
        <f>HRData[[#This Row],[Salary]]*$H$9</f>
        <v>300.40000000000003</v>
      </c>
    </row>
    <row r="20" spans="3:11" x14ac:dyDescent="0.45">
      <c r="C20" s="445" t="s">
        <v>47</v>
      </c>
      <c r="D20" s="131">
        <v>38967</v>
      </c>
      <c r="E20" s="131" t="s">
        <v>32</v>
      </c>
      <c r="F20" s="105" t="s">
        <v>316</v>
      </c>
      <c r="G20" s="105">
        <v>10</v>
      </c>
      <c r="H20" s="132" t="s">
        <v>25</v>
      </c>
      <c r="I20" s="105">
        <v>3</v>
      </c>
      <c r="J20" s="455">
        <v>7960</v>
      </c>
      <c r="K20" s="25">
        <f>HRData[[#This Row],[Salary]]*$H$9</f>
        <v>796</v>
      </c>
    </row>
    <row r="21" spans="3:11" x14ac:dyDescent="0.45">
      <c r="C21" s="445" t="s">
        <v>48</v>
      </c>
      <c r="D21" s="131">
        <v>36708</v>
      </c>
      <c r="E21" s="131" t="s">
        <v>33</v>
      </c>
      <c r="F21" s="105" t="s">
        <v>312</v>
      </c>
      <c r="G21" s="105">
        <v>14</v>
      </c>
      <c r="H21" s="132" t="s">
        <v>25</v>
      </c>
      <c r="I21" s="105">
        <v>1</v>
      </c>
      <c r="J21" s="455">
        <v>5562</v>
      </c>
      <c r="K21" s="25">
        <f>HRData[[#This Row],[Salary]]*$H$9</f>
        <v>556.20000000000005</v>
      </c>
    </row>
    <row r="22" spans="3:11" x14ac:dyDescent="0.45">
      <c r="C22" s="445" t="s">
        <v>49</v>
      </c>
      <c r="D22" s="131">
        <v>38051</v>
      </c>
      <c r="E22" s="131" t="s">
        <v>34</v>
      </c>
      <c r="F22" s="105" t="s">
        <v>320</v>
      </c>
      <c r="G22" s="105">
        <v>10</v>
      </c>
      <c r="H22" s="132" t="s">
        <v>25</v>
      </c>
      <c r="I22" s="105">
        <v>1</v>
      </c>
      <c r="J22" s="455">
        <v>5640</v>
      </c>
      <c r="K22" s="25">
        <f>HRData[[#This Row],[Salary]]*$H$9</f>
        <v>564</v>
      </c>
    </row>
    <row r="23" spans="3:11" x14ac:dyDescent="0.45">
      <c r="C23" s="445" t="s">
        <v>50</v>
      </c>
      <c r="D23" s="131">
        <v>40422</v>
      </c>
      <c r="E23" s="131" t="s">
        <v>35</v>
      </c>
      <c r="F23" s="105" t="s">
        <v>316</v>
      </c>
      <c r="G23" s="105">
        <v>10</v>
      </c>
      <c r="H23" s="132" t="s">
        <v>25</v>
      </c>
      <c r="I23" s="105">
        <v>3</v>
      </c>
      <c r="J23" s="455">
        <v>3512</v>
      </c>
      <c r="K23" s="25">
        <f>HRData[[#This Row],[Salary]]*$H$9</f>
        <v>351.20000000000005</v>
      </c>
    </row>
    <row r="24" spans="3:11" x14ac:dyDescent="0.45">
      <c r="C24" s="445" t="s">
        <v>51</v>
      </c>
      <c r="D24" s="131">
        <v>41235</v>
      </c>
      <c r="E24" s="131" t="s">
        <v>36</v>
      </c>
      <c r="F24" s="105" t="s">
        <v>314</v>
      </c>
      <c r="G24" s="105">
        <v>9</v>
      </c>
      <c r="H24" s="132" t="s">
        <v>78</v>
      </c>
      <c r="I24" s="105">
        <v>1</v>
      </c>
      <c r="J24" s="455">
        <v>4020</v>
      </c>
      <c r="K24" s="25">
        <f>HRData[[#This Row],[Salary]]*$H$9</f>
        <v>402</v>
      </c>
    </row>
    <row r="25" spans="3:11" x14ac:dyDescent="0.45">
      <c r="C25" s="445" t="s">
        <v>52</v>
      </c>
      <c r="D25" s="131">
        <v>39017</v>
      </c>
      <c r="E25" s="131" t="s">
        <v>37</v>
      </c>
      <c r="F25" s="105" t="s">
        <v>321</v>
      </c>
      <c r="G25" s="105">
        <v>10</v>
      </c>
      <c r="H25" s="132" t="s">
        <v>27</v>
      </c>
      <c r="I25" s="105">
        <v>5</v>
      </c>
      <c r="J25" s="455">
        <v>9428</v>
      </c>
      <c r="K25" s="25">
        <f>HRData[[#This Row],[Salary]]*$H$9</f>
        <v>942.80000000000007</v>
      </c>
    </row>
    <row r="26" spans="3:11" x14ac:dyDescent="0.45">
      <c r="C26" s="445" t="s">
        <v>53</v>
      </c>
      <c r="D26" s="131">
        <v>40201</v>
      </c>
      <c r="E26" s="131" t="s">
        <v>38</v>
      </c>
      <c r="F26" s="105" t="s">
        <v>313</v>
      </c>
      <c r="G26" s="105">
        <v>6</v>
      </c>
      <c r="H26" s="132" t="s">
        <v>25</v>
      </c>
      <c r="I26" s="105">
        <v>5</v>
      </c>
      <c r="J26" s="455">
        <v>12124</v>
      </c>
      <c r="K26" s="25">
        <f>HRData[[#This Row],[Salary]]*$H$9</f>
        <v>1212.4000000000001</v>
      </c>
    </row>
    <row r="27" spans="3:11" x14ac:dyDescent="0.45">
      <c r="C27" s="445" t="s">
        <v>54</v>
      </c>
      <c r="D27" s="131">
        <v>41543</v>
      </c>
      <c r="E27" s="131" t="s">
        <v>79</v>
      </c>
      <c r="F27" s="105" t="s">
        <v>312</v>
      </c>
      <c r="G27" s="105">
        <v>13</v>
      </c>
      <c r="H27" s="132" t="s">
        <v>78</v>
      </c>
      <c r="I27" s="105">
        <v>2</v>
      </c>
      <c r="J27" s="455">
        <v>1700</v>
      </c>
      <c r="K27" s="25">
        <f>HRData[[#This Row],[Salary]]*$H$9</f>
        <v>170</v>
      </c>
    </row>
    <row r="28" spans="3:11" x14ac:dyDescent="0.45">
      <c r="C28" s="445" t="s">
        <v>55</v>
      </c>
      <c r="D28" s="131">
        <v>37643</v>
      </c>
      <c r="E28" s="131" t="s">
        <v>80</v>
      </c>
      <c r="F28" s="105" t="s">
        <v>321</v>
      </c>
      <c r="G28" s="105">
        <v>8</v>
      </c>
      <c r="H28" s="132" t="s">
        <v>78</v>
      </c>
      <c r="I28" s="105">
        <v>3</v>
      </c>
      <c r="J28" s="455">
        <v>3250</v>
      </c>
      <c r="K28" s="25">
        <f>HRData[[#This Row],[Salary]]*$H$9</f>
        <v>325</v>
      </c>
    </row>
    <row r="29" spans="3:11" x14ac:dyDescent="0.45">
      <c r="C29" s="445" t="s">
        <v>56</v>
      </c>
      <c r="D29" s="131">
        <v>37217</v>
      </c>
      <c r="E29" s="131" t="s">
        <v>81</v>
      </c>
      <c r="F29" s="105" t="s">
        <v>316</v>
      </c>
      <c r="G29" s="105">
        <v>12</v>
      </c>
      <c r="H29" s="132" t="s">
        <v>27</v>
      </c>
      <c r="I29" s="105">
        <v>2</v>
      </c>
      <c r="J29" s="455">
        <v>2500</v>
      </c>
      <c r="K29" s="25">
        <f>HRData[[#This Row],[Salary]]*$H$9</f>
        <v>250</v>
      </c>
    </row>
    <row r="30" spans="3:11" x14ac:dyDescent="0.45">
      <c r="C30" s="445" t="s">
        <v>57</v>
      </c>
      <c r="D30" s="131">
        <v>42289</v>
      </c>
      <c r="E30" s="131" t="s">
        <v>82</v>
      </c>
      <c r="F30" s="105" t="s">
        <v>320</v>
      </c>
      <c r="G30" s="105">
        <v>15</v>
      </c>
      <c r="H30" s="132" t="s">
        <v>78</v>
      </c>
      <c r="I30" s="105">
        <v>2</v>
      </c>
      <c r="J30" s="455">
        <v>1236</v>
      </c>
      <c r="K30" s="25">
        <f>HRData[[#This Row],[Salary]]*$H$9</f>
        <v>123.60000000000001</v>
      </c>
    </row>
    <row r="31" spans="3:11" x14ac:dyDescent="0.45">
      <c r="C31" s="445" t="s">
        <v>58</v>
      </c>
      <c r="D31" s="131">
        <v>41687</v>
      </c>
      <c r="E31" s="131" t="s">
        <v>83</v>
      </c>
      <c r="F31" s="105" t="s">
        <v>317</v>
      </c>
      <c r="G31" s="105">
        <v>5</v>
      </c>
      <c r="H31" s="132" t="s">
        <v>78</v>
      </c>
      <c r="I31" s="105">
        <v>5</v>
      </c>
      <c r="J31" s="455">
        <v>1700</v>
      </c>
      <c r="K31" s="25">
        <f>HRData[[#This Row],[Salary]]*$H$9</f>
        <v>170</v>
      </c>
    </row>
    <row r="32" spans="3:11" x14ac:dyDescent="0.45">
      <c r="C32" s="445" t="s">
        <v>59</v>
      </c>
      <c r="D32" s="131">
        <v>38292</v>
      </c>
      <c r="E32" s="131" t="s">
        <v>84</v>
      </c>
      <c r="F32" s="105" t="s">
        <v>320</v>
      </c>
      <c r="G32" s="105">
        <v>14</v>
      </c>
      <c r="H32" s="132" t="s">
        <v>25</v>
      </c>
      <c r="I32" s="105">
        <v>4</v>
      </c>
      <c r="J32" s="455">
        <v>12640</v>
      </c>
      <c r="K32" s="25">
        <f>HRData[[#This Row],[Salary]]*$H$9</f>
        <v>1264</v>
      </c>
    </row>
    <row r="33" spans="3:11" x14ac:dyDescent="0.45">
      <c r="C33" s="445" t="s">
        <v>60</v>
      </c>
      <c r="D33" s="131">
        <v>41250</v>
      </c>
      <c r="E33" s="131" t="s">
        <v>85</v>
      </c>
      <c r="F33" s="105" t="s">
        <v>312</v>
      </c>
      <c r="G33" s="105">
        <v>14</v>
      </c>
      <c r="H33" s="132" t="s">
        <v>25</v>
      </c>
      <c r="I33" s="105">
        <v>3</v>
      </c>
      <c r="J33" s="455">
        <v>10778</v>
      </c>
      <c r="K33" s="25">
        <f>HRData[[#This Row],[Salary]]*$H$9</f>
        <v>1077.8</v>
      </c>
    </row>
    <row r="34" spans="3:11" x14ac:dyDescent="0.45">
      <c r="C34" s="445" t="s">
        <v>61</v>
      </c>
      <c r="D34" s="131">
        <v>40706</v>
      </c>
      <c r="E34" s="131" t="s">
        <v>86</v>
      </c>
      <c r="F34" s="105" t="s">
        <v>319</v>
      </c>
      <c r="G34" s="105">
        <v>11</v>
      </c>
      <c r="H34" s="132" t="s">
        <v>78</v>
      </c>
      <c r="I34" s="105">
        <v>4</v>
      </c>
      <c r="J34" s="455">
        <v>1700</v>
      </c>
      <c r="K34" s="25">
        <f>HRData[[#This Row],[Salary]]*$H$9</f>
        <v>170</v>
      </c>
    </row>
    <row r="35" spans="3:11" x14ac:dyDescent="0.45">
      <c r="C35" s="445" t="s">
        <v>62</v>
      </c>
      <c r="D35" s="131">
        <v>41200</v>
      </c>
      <c r="E35" s="131" t="s">
        <v>87</v>
      </c>
      <c r="F35" s="105" t="s">
        <v>319</v>
      </c>
      <c r="G35" s="105">
        <v>7</v>
      </c>
      <c r="H35" s="132" t="s">
        <v>27</v>
      </c>
      <c r="I35" s="105">
        <v>5</v>
      </c>
      <c r="J35" s="455">
        <v>2500</v>
      </c>
      <c r="K35" s="25">
        <f>HRData[[#This Row],[Salary]]*$H$9</f>
        <v>250</v>
      </c>
    </row>
    <row r="36" spans="3:11" x14ac:dyDescent="0.45">
      <c r="C36" s="445" t="s">
        <v>63</v>
      </c>
      <c r="D36" s="131">
        <v>41558</v>
      </c>
      <c r="E36" s="131" t="s">
        <v>88</v>
      </c>
      <c r="F36" s="105" t="s">
        <v>317</v>
      </c>
      <c r="G36" s="105">
        <v>12</v>
      </c>
      <c r="H36" s="132" t="s">
        <v>27</v>
      </c>
      <c r="I36" s="105">
        <v>2</v>
      </c>
      <c r="J36" s="455">
        <v>2500</v>
      </c>
      <c r="K36" s="25">
        <f>HRData[[#This Row],[Salary]]*$H$9</f>
        <v>250</v>
      </c>
    </row>
    <row r="37" spans="3:11" x14ac:dyDescent="0.45">
      <c r="C37" s="445" t="s">
        <v>64</v>
      </c>
      <c r="D37" s="131">
        <v>39172</v>
      </c>
      <c r="E37" s="131" t="s">
        <v>89</v>
      </c>
      <c r="F37" s="105" t="s">
        <v>319</v>
      </c>
      <c r="G37" s="105">
        <v>14</v>
      </c>
      <c r="H37" s="132" t="s">
        <v>78</v>
      </c>
      <c r="I37" s="105">
        <v>4</v>
      </c>
      <c r="J37" s="455">
        <v>1700</v>
      </c>
      <c r="K37" s="25">
        <f>HRData[[#This Row],[Salary]]*$H$9</f>
        <v>170</v>
      </c>
    </row>
    <row r="38" spans="3:11" x14ac:dyDescent="0.45">
      <c r="C38" s="445" t="s">
        <v>65</v>
      </c>
      <c r="D38" s="131">
        <v>42221</v>
      </c>
      <c r="E38" s="131" t="s">
        <v>90</v>
      </c>
      <c r="F38" s="105" t="s">
        <v>314</v>
      </c>
      <c r="G38" s="105">
        <v>14</v>
      </c>
      <c r="H38" s="132" t="s">
        <v>25</v>
      </c>
      <c r="I38" s="105">
        <v>3</v>
      </c>
      <c r="J38" s="455">
        <v>3830</v>
      </c>
      <c r="K38" s="25">
        <f>HRData[[#This Row],[Salary]]*$H$9</f>
        <v>383</v>
      </c>
    </row>
    <row r="39" spans="3:11" x14ac:dyDescent="0.45">
      <c r="C39" s="445" t="s">
        <v>66</v>
      </c>
      <c r="D39" s="131">
        <v>40354</v>
      </c>
      <c r="E39" s="131" t="s">
        <v>91</v>
      </c>
      <c r="F39" s="105" t="s">
        <v>321</v>
      </c>
      <c r="G39" s="105">
        <v>12</v>
      </c>
      <c r="H39" s="132" t="s">
        <v>25</v>
      </c>
      <c r="I39" s="105">
        <v>4</v>
      </c>
      <c r="J39" s="455">
        <v>4600</v>
      </c>
      <c r="K39" s="25">
        <f>HRData[[#This Row],[Salary]]*$H$9</f>
        <v>460</v>
      </c>
    </row>
    <row r="40" spans="3:11" x14ac:dyDescent="0.45">
      <c r="C40" s="445" t="s">
        <v>67</v>
      </c>
      <c r="D40" s="131">
        <v>37013</v>
      </c>
      <c r="E40" s="131" t="s">
        <v>92</v>
      </c>
      <c r="F40" s="105" t="s">
        <v>317</v>
      </c>
      <c r="G40" s="105">
        <v>11</v>
      </c>
      <c r="H40" s="132" t="s">
        <v>25</v>
      </c>
      <c r="I40" s="105">
        <v>2</v>
      </c>
      <c r="J40" s="455">
        <v>3246</v>
      </c>
      <c r="K40" s="25">
        <f>HRData[[#This Row],[Salary]]*$H$9</f>
        <v>324.60000000000002</v>
      </c>
    </row>
    <row r="41" spans="3:11" x14ac:dyDescent="0.45">
      <c r="C41" s="445" t="s">
        <v>68</v>
      </c>
      <c r="D41" s="131">
        <v>41728</v>
      </c>
      <c r="E41" s="131" t="s">
        <v>93</v>
      </c>
      <c r="F41" s="105" t="s">
        <v>321</v>
      </c>
      <c r="G41" s="105">
        <v>7</v>
      </c>
      <c r="H41" s="132" t="s">
        <v>27</v>
      </c>
      <c r="I41" s="105">
        <v>4</v>
      </c>
      <c r="J41" s="455">
        <v>12840</v>
      </c>
      <c r="K41" s="25">
        <f>HRData[[#This Row],[Salary]]*$H$9</f>
        <v>1284</v>
      </c>
    </row>
    <row r="42" spans="3:11" x14ac:dyDescent="0.45">
      <c r="C42" s="445" t="s">
        <v>69</v>
      </c>
      <c r="D42" s="131">
        <v>36868</v>
      </c>
      <c r="E42" s="131" t="s">
        <v>94</v>
      </c>
      <c r="F42" s="105" t="s">
        <v>320</v>
      </c>
      <c r="G42" s="105">
        <v>6</v>
      </c>
      <c r="H42" s="132" t="s">
        <v>78</v>
      </c>
      <c r="I42" s="105">
        <v>5</v>
      </c>
      <c r="J42" s="455">
        <v>4500</v>
      </c>
      <c r="K42" s="25">
        <f>HRData[[#This Row],[Salary]]*$H$9</f>
        <v>450</v>
      </c>
    </row>
    <row r="43" spans="3:11" x14ac:dyDescent="0.45">
      <c r="C43" s="445" t="s">
        <v>70</v>
      </c>
      <c r="D43" s="131">
        <v>41788</v>
      </c>
      <c r="E43" s="131" t="s">
        <v>95</v>
      </c>
      <c r="F43" s="105" t="s">
        <v>321</v>
      </c>
      <c r="G43" s="105">
        <v>10</v>
      </c>
      <c r="H43" s="132" t="s">
        <v>25</v>
      </c>
      <c r="I43" s="105">
        <v>1</v>
      </c>
      <c r="J43" s="455">
        <v>2500</v>
      </c>
      <c r="K43" s="25">
        <f>HRData[[#This Row],[Salary]]*$H$9</f>
        <v>250</v>
      </c>
    </row>
    <row r="44" spans="3:11" x14ac:dyDescent="0.45">
      <c r="C44" s="445" t="s">
        <v>71</v>
      </c>
      <c r="D44" s="131">
        <v>41934</v>
      </c>
      <c r="E44" s="131" t="s">
        <v>96</v>
      </c>
      <c r="F44" s="105" t="s">
        <v>314</v>
      </c>
      <c r="G44" s="105">
        <v>20</v>
      </c>
      <c r="H44" s="132" t="s">
        <v>78</v>
      </c>
      <c r="I44" s="105">
        <v>3</v>
      </c>
      <c r="J44" s="455">
        <v>1700</v>
      </c>
      <c r="K44" s="25">
        <f>HRData[[#This Row],[Salary]]*$H$9</f>
        <v>170</v>
      </c>
    </row>
    <row r="45" spans="3:11" x14ac:dyDescent="0.45">
      <c r="C45" s="445" t="s">
        <v>72</v>
      </c>
      <c r="D45" s="131">
        <v>42567</v>
      </c>
      <c r="E45" s="131" t="s">
        <v>97</v>
      </c>
      <c r="F45" s="105" t="s">
        <v>314</v>
      </c>
      <c r="G45" s="105">
        <v>7</v>
      </c>
      <c r="H45" s="132" t="s">
        <v>78</v>
      </c>
      <c r="I45" s="105">
        <v>1</v>
      </c>
      <c r="J45" s="455">
        <v>1700</v>
      </c>
      <c r="K45" s="25">
        <f>HRData[[#This Row],[Salary]]*$H$9</f>
        <v>170</v>
      </c>
    </row>
    <row r="46" spans="3:11" x14ac:dyDescent="0.45">
      <c r="C46" s="445" t="s">
        <v>73</v>
      </c>
      <c r="D46" s="131">
        <v>40415</v>
      </c>
      <c r="E46" s="131" t="s">
        <v>98</v>
      </c>
      <c r="F46" s="105" t="s">
        <v>316</v>
      </c>
      <c r="G46" s="105">
        <v>15</v>
      </c>
      <c r="H46" s="132" t="s">
        <v>27</v>
      </c>
      <c r="I46" s="105">
        <v>2</v>
      </c>
      <c r="J46" s="455">
        <v>2500</v>
      </c>
      <c r="K46" s="25">
        <f>HRData[[#This Row],[Salary]]*$H$9</f>
        <v>250</v>
      </c>
    </row>
    <row r="47" spans="3:11" x14ac:dyDescent="0.45">
      <c r="C47" s="449" t="s">
        <v>74</v>
      </c>
      <c r="D47" s="451">
        <v>42256</v>
      </c>
      <c r="E47" s="451" t="s">
        <v>99</v>
      </c>
      <c r="F47" s="450" t="s">
        <v>320</v>
      </c>
      <c r="G47" s="450">
        <v>12</v>
      </c>
      <c r="H47" s="452" t="s">
        <v>25</v>
      </c>
      <c r="I47" s="450">
        <v>2</v>
      </c>
      <c r="J47" s="456">
        <v>2500</v>
      </c>
      <c r="K47" s="25">
        <f>HRData[[#This Row],[Salary]]*$H$9</f>
        <v>250</v>
      </c>
    </row>
  </sheetData>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686A-124B-40D8-A9C5-EEF38A351C6E}">
  <sheetPr codeName="Sheet8"/>
  <dimension ref="A2:N43"/>
  <sheetViews>
    <sheetView showGridLines="0" topLeftCell="A32" workbookViewId="0">
      <selection activeCell="G42" sqref="G42"/>
    </sheetView>
  </sheetViews>
  <sheetFormatPr defaultColWidth="9.1796875" defaultRowHeight="16" x14ac:dyDescent="0.45"/>
  <cols>
    <col min="1" max="1" width="2.7265625" style="25" customWidth="1"/>
    <col min="2" max="2" width="3.26953125" style="25" customWidth="1"/>
    <col min="3" max="3" width="21.1796875" style="25" customWidth="1"/>
    <col min="4" max="4" width="26.54296875" style="25" customWidth="1"/>
    <col min="5" max="12" width="15.453125" style="25" customWidth="1"/>
    <col min="13" max="16384" width="9.1796875" style="25"/>
  </cols>
  <sheetData>
    <row r="2" spans="1:14" x14ac:dyDescent="0.45">
      <c r="B2" s="126"/>
      <c r="C2" s="126"/>
      <c r="D2" s="126"/>
      <c r="E2" s="126"/>
      <c r="F2" s="126"/>
      <c r="G2" s="126"/>
      <c r="H2" s="126"/>
      <c r="I2" s="126"/>
      <c r="J2" s="126"/>
      <c r="K2" s="126"/>
      <c r="L2" s="126"/>
      <c r="M2" s="130"/>
      <c r="N2" s="130"/>
    </row>
    <row r="3" spans="1:14" x14ac:dyDescent="0.45">
      <c r="B3" s="127" t="s">
        <v>326</v>
      </c>
      <c r="C3" s="128"/>
      <c r="D3" s="126"/>
      <c r="E3" s="126"/>
      <c r="F3" s="126"/>
      <c r="G3" s="126"/>
      <c r="H3" s="126"/>
      <c r="I3" s="126"/>
      <c r="J3" s="126"/>
      <c r="K3" s="126"/>
      <c r="L3" s="126"/>
      <c r="M3" s="130"/>
      <c r="N3" s="130"/>
    </row>
    <row r="4" spans="1:14" x14ac:dyDescent="0.45">
      <c r="B4" s="128" t="s">
        <v>364</v>
      </c>
      <c r="C4" s="126"/>
      <c r="D4" s="126"/>
      <c r="E4" s="126"/>
      <c r="F4" s="126"/>
      <c r="G4" s="126"/>
      <c r="H4" s="126"/>
      <c r="I4" s="126"/>
      <c r="J4" s="126"/>
      <c r="K4" s="126"/>
      <c r="L4" s="126"/>
      <c r="M4" s="130"/>
      <c r="N4" s="130"/>
    </row>
    <row r="6" spans="1:14" x14ac:dyDescent="0.45">
      <c r="B6" s="51" t="s">
        <v>365</v>
      </c>
    </row>
    <row r="8" spans="1:14" x14ac:dyDescent="0.45">
      <c r="A8" s="25" t="s">
        <v>14</v>
      </c>
      <c r="B8" s="124" t="s">
        <v>366</v>
      </c>
      <c r="C8" s="124"/>
      <c r="D8" s="124"/>
      <c r="E8" s="124"/>
      <c r="F8" s="124"/>
      <c r="G8" s="124"/>
    </row>
    <row r="10" spans="1:14" x14ac:dyDescent="0.45">
      <c r="C10" s="25" t="s">
        <v>367</v>
      </c>
      <c r="E10" s="454">
        <f>SUM(HRData[Bonus])</f>
        <v>21119</v>
      </c>
    </row>
    <row r="12" spans="1:14" x14ac:dyDescent="0.45">
      <c r="C12" s="25" t="s">
        <v>368</v>
      </c>
      <c r="E12" s="454">
        <f>AVERAGE(HRData[Bonus])</f>
        <v>603.4</v>
      </c>
    </row>
    <row r="14" spans="1:14" x14ac:dyDescent="0.45">
      <c r="C14" s="25" t="s">
        <v>369</v>
      </c>
      <c r="E14" s="113">
        <f>COUNTA(HRData[Employee Name])</f>
        <v>35</v>
      </c>
    </row>
    <row r="16" spans="1:14" x14ac:dyDescent="0.45">
      <c r="C16" s="25" t="s">
        <v>370</v>
      </c>
      <c r="E16" s="454">
        <f>MAX(HRData[Salary])</f>
        <v>24016</v>
      </c>
    </row>
    <row r="18" spans="1:7" x14ac:dyDescent="0.45">
      <c r="C18" s="25" t="s">
        <v>371</v>
      </c>
      <c r="E18" s="454">
        <f>MIN(HRData[Salary])</f>
        <v>1236</v>
      </c>
    </row>
    <row r="21" spans="1:7" x14ac:dyDescent="0.45">
      <c r="A21" s="25" t="s">
        <v>14</v>
      </c>
      <c r="B21" s="124" t="s">
        <v>372</v>
      </c>
      <c r="C21" s="124"/>
      <c r="D21" s="124"/>
      <c r="E21" s="124"/>
      <c r="F21" s="124"/>
      <c r="G21" s="124"/>
    </row>
    <row r="23" spans="1:7" x14ac:dyDescent="0.45">
      <c r="B23" s="25" t="s">
        <v>1</v>
      </c>
      <c r="C23" s="25" t="s">
        <v>373</v>
      </c>
      <c r="F23" s="454">
        <f>SUMIF(HRData[Department],"Operations",HRData[Salary])</f>
        <v>49204</v>
      </c>
    </row>
    <row r="25" spans="1:7" x14ac:dyDescent="0.45">
      <c r="B25" s="25" t="s">
        <v>2</v>
      </c>
      <c r="C25" s="25" t="s">
        <v>374</v>
      </c>
      <c r="F25" s="454">
        <f>AVERAGEIF(HRData[Department],"IT",HRData[Bonus])</f>
        <v>248.20000000000002</v>
      </c>
    </row>
    <row r="27" spans="1:7" x14ac:dyDescent="0.45">
      <c r="B27" s="25" t="s">
        <v>3</v>
      </c>
      <c r="C27" s="25" t="s">
        <v>375</v>
      </c>
      <c r="F27" s="113">
        <f>COUNTIFS(HRData[Department],"Operations")</f>
        <v>7</v>
      </c>
    </row>
    <row r="29" spans="1:7" x14ac:dyDescent="0.45">
      <c r="B29" s="25" t="s">
        <v>5</v>
      </c>
      <c r="C29" s="25" t="s">
        <v>376</v>
      </c>
      <c r="F29" s="113">
        <f>COUNTIFS(HRData[Date Employed],"&gt;1-Sep-10")</f>
        <v>17</v>
      </c>
    </row>
    <row r="33" spans="1:7" x14ac:dyDescent="0.45">
      <c r="A33" s="25" t="s">
        <v>14</v>
      </c>
      <c r="B33" s="124" t="s">
        <v>377</v>
      </c>
      <c r="C33" s="124"/>
      <c r="D33" s="124"/>
      <c r="E33" s="124"/>
      <c r="F33" s="124"/>
      <c r="G33" s="124"/>
    </row>
    <row r="35" spans="1:7" x14ac:dyDescent="0.45">
      <c r="B35" s="25" t="s">
        <v>1</v>
      </c>
      <c r="C35" s="25" t="s">
        <v>378</v>
      </c>
      <c r="G35" s="454">
        <f>SUMIFS(HRData[Bonus],HRData[Employment Type],"Full time",HRData[Department],"operations")</f>
        <v>3163.2</v>
      </c>
    </row>
    <row r="37" spans="1:7" x14ac:dyDescent="0.45">
      <c r="B37" s="25" t="s">
        <v>2</v>
      </c>
      <c r="C37" s="25" t="s">
        <v>379</v>
      </c>
      <c r="G37" s="113">
        <f>SUMIFS(HRData[Bonus],HRData[Department],"Operations",HRData[Employment Type],"&lt;&gt;Contract")</f>
        <v>3463.6000000000004</v>
      </c>
    </row>
    <row r="39" spans="1:7" x14ac:dyDescent="0.45">
      <c r="B39" s="25" t="s">
        <v>2</v>
      </c>
      <c r="C39" s="25" t="s">
        <v>380</v>
      </c>
      <c r="G39" s="113">
        <f>COUNTIFS(HRData[Department],"TOS",HRData[Years in Service],"&gt;="&amp;6)</f>
        <v>6</v>
      </c>
    </row>
    <row r="41" spans="1:7" x14ac:dyDescent="0.45">
      <c r="B41" s="25" t="s">
        <v>3</v>
      </c>
      <c r="C41" s="25" t="s">
        <v>381</v>
      </c>
      <c r="G41" s="113">
        <f>COUNTIFS(HRData[Date Employed],"&gt;="&amp;D43,HRData[Date Employed],"&lt;="&amp;E43)</f>
        <v>19</v>
      </c>
    </row>
    <row r="43" spans="1:7" x14ac:dyDescent="0.45">
      <c r="D43" s="464">
        <v>36526</v>
      </c>
      <c r="E43" s="464">
        <v>40524</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E105C-83C9-4466-A244-EA8B8F52CE0F}">
  <sheetPr codeName="Sheet5"/>
  <dimension ref="A1:Z119"/>
  <sheetViews>
    <sheetView showGridLines="0" topLeftCell="A95" zoomScale="60" workbookViewId="0">
      <selection activeCell="D101" sqref="D101:D110"/>
    </sheetView>
  </sheetViews>
  <sheetFormatPr defaultColWidth="9.1796875" defaultRowHeight="19.5" customHeight="1" x14ac:dyDescent="0.45"/>
  <cols>
    <col min="1" max="1" width="2.7265625" style="141" customWidth="1"/>
    <col min="2" max="2" width="21.7265625" style="141" customWidth="1"/>
    <col min="3" max="3" width="12.54296875" style="141" customWidth="1"/>
    <col min="4" max="5" width="16.54296875" style="141" customWidth="1"/>
    <col min="6" max="6" width="17" style="141" customWidth="1"/>
    <col min="7" max="8" width="16.54296875" style="141" customWidth="1"/>
    <col min="9" max="17" width="7.7265625" style="141" customWidth="1"/>
    <col min="18" max="16384" width="9.1796875" style="141"/>
  </cols>
  <sheetData>
    <row r="1" spans="1:26" s="25" customFormat="1" ht="16" x14ac:dyDescent="0.45"/>
    <row r="2" spans="1:26" s="25" customFormat="1" ht="16" x14ac:dyDescent="0.45">
      <c r="B2" s="126"/>
      <c r="C2" s="126"/>
      <c r="D2" s="126"/>
      <c r="E2" s="126"/>
      <c r="F2" s="126"/>
      <c r="G2" s="126"/>
      <c r="H2" s="126"/>
      <c r="I2" s="126"/>
      <c r="J2" s="126"/>
      <c r="K2" s="126"/>
      <c r="L2" s="126"/>
      <c r="M2" s="130"/>
      <c r="N2" s="130"/>
      <c r="O2" s="130"/>
      <c r="P2" s="130"/>
      <c r="Q2" s="130"/>
      <c r="R2" s="130"/>
      <c r="S2" s="130"/>
      <c r="T2" s="130"/>
    </row>
    <row r="3" spans="1:26" s="25" customFormat="1" ht="16" x14ac:dyDescent="0.45">
      <c r="B3" s="127" t="s">
        <v>326</v>
      </c>
      <c r="C3" s="128"/>
      <c r="D3" s="126"/>
      <c r="E3" s="126"/>
      <c r="F3" s="126"/>
      <c r="G3" s="126"/>
      <c r="H3" s="126"/>
      <c r="I3" s="126"/>
      <c r="J3" s="126"/>
      <c r="K3" s="126"/>
      <c r="L3" s="126"/>
      <c r="M3" s="130"/>
      <c r="N3" s="130"/>
      <c r="O3" s="130"/>
      <c r="P3" s="130"/>
      <c r="Q3" s="130"/>
      <c r="R3" s="130"/>
      <c r="S3" s="130"/>
      <c r="T3" s="130"/>
    </row>
    <row r="4" spans="1:26" s="25" customFormat="1" ht="16" x14ac:dyDescent="0.45">
      <c r="B4" s="128" t="s">
        <v>364</v>
      </c>
      <c r="C4" s="126"/>
      <c r="D4" s="126"/>
      <c r="E4" s="126"/>
      <c r="F4" s="126"/>
      <c r="G4" s="126"/>
      <c r="H4" s="126"/>
      <c r="I4" s="126"/>
      <c r="J4" s="126"/>
      <c r="K4" s="126"/>
      <c r="L4" s="126"/>
      <c r="M4" s="130"/>
      <c r="N4" s="130"/>
      <c r="O4" s="130"/>
      <c r="P4" s="130"/>
      <c r="Q4" s="130"/>
      <c r="R4" s="130"/>
      <c r="S4" s="130"/>
      <c r="T4" s="130"/>
    </row>
    <row r="5" spans="1:26" s="25" customFormat="1" ht="16" x14ac:dyDescent="0.45">
      <c r="V5" s="25">
        <v>1</v>
      </c>
      <c r="X5" s="25">
        <v>2</v>
      </c>
      <c r="Z5" s="25">
        <v>3</v>
      </c>
    </row>
    <row r="6" spans="1:26" ht="16" x14ac:dyDescent="0.45">
      <c r="A6" s="25"/>
      <c r="B6" s="25"/>
      <c r="C6" s="25"/>
      <c r="D6" s="25"/>
      <c r="E6" s="25"/>
      <c r="F6" s="25"/>
      <c r="G6" s="25"/>
      <c r="H6" s="25"/>
      <c r="I6" s="25"/>
      <c r="J6" s="25"/>
      <c r="K6" s="25"/>
      <c r="L6" s="25"/>
      <c r="M6" s="25"/>
      <c r="N6" s="25"/>
      <c r="O6" s="25"/>
      <c r="P6" s="25"/>
      <c r="Q6" s="25"/>
      <c r="V6" s="141">
        <v>4</v>
      </c>
      <c r="X6" s="141">
        <v>5</v>
      </c>
      <c r="Z6" s="141">
        <v>6</v>
      </c>
    </row>
    <row r="7" spans="1:26" ht="16" x14ac:dyDescent="0.45">
      <c r="A7" s="25" t="s">
        <v>14</v>
      </c>
      <c r="B7" s="126" t="s">
        <v>218</v>
      </c>
      <c r="C7" s="145"/>
      <c r="D7" s="145"/>
      <c r="E7" s="145"/>
      <c r="F7" s="145"/>
      <c r="G7" s="145"/>
      <c r="H7" s="145"/>
      <c r="I7" s="145"/>
      <c r="J7" s="25"/>
      <c r="K7" s="25"/>
      <c r="L7" s="25"/>
      <c r="M7" s="25"/>
      <c r="N7" s="25"/>
      <c r="O7" s="25"/>
      <c r="P7" s="25"/>
      <c r="Q7" s="25"/>
      <c r="V7" s="141">
        <v>7</v>
      </c>
      <c r="X7" s="141">
        <v>8</v>
      </c>
      <c r="Z7" s="141">
        <v>9</v>
      </c>
    </row>
    <row r="8" spans="1:26" ht="16" x14ac:dyDescent="0.45">
      <c r="A8" s="25"/>
      <c r="B8" s="25"/>
      <c r="C8" s="25"/>
      <c r="D8" s="25"/>
      <c r="E8" s="25"/>
      <c r="F8" s="25"/>
      <c r="G8" s="25"/>
      <c r="H8" s="25"/>
      <c r="I8" s="25"/>
      <c r="J8" s="25"/>
      <c r="K8" s="25"/>
      <c r="L8" s="25"/>
      <c r="M8" s="25"/>
      <c r="N8" s="25"/>
      <c r="O8" s="25"/>
      <c r="P8" s="25"/>
      <c r="Q8" s="25"/>
    </row>
    <row r="9" spans="1:26" ht="16" x14ac:dyDescent="0.45">
      <c r="A9" s="25"/>
      <c r="B9" s="146" t="s">
        <v>222</v>
      </c>
      <c r="C9" s="147">
        <v>0.15</v>
      </c>
      <c r="D9" s="148"/>
      <c r="E9" s="148"/>
      <c r="F9" s="148"/>
      <c r="G9" s="25"/>
      <c r="H9" s="25"/>
      <c r="I9" s="25"/>
      <c r="J9" s="25"/>
      <c r="K9" s="25"/>
      <c r="L9" s="25"/>
      <c r="M9" s="25"/>
      <c r="N9" s="25"/>
      <c r="O9" s="25"/>
      <c r="P9" s="25"/>
      <c r="Q9" s="25"/>
    </row>
    <row r="10" spans="1:26" ht="16" x14ac:dyDescent="0.45">
      <c r="A10" s="25"/>
      <c r="B10" s="149"/>
      <c r="C10" s="148"/>
      <c r="D10" s="148"/>
      <c r="E10" s="148"/>
      <c r="F10" s="148"/>
      <c r="G10" s="25"/>
      <c r="H10" s="25"/>
      <c r="I10" s="25"/>
      <c r="J10" s="25"/>
      <c r="K10" s="25"/>
      <c r="L10" s="25"/>
      <c r="M10" s="25"/>
      <c r="N10" s="25"/>
      <c r="O10" s="25"/>
      <c r="P10" s="25"/>
      <c r="Q10" s="25"/>
    </row>
    <row r="11" spans="1:26" ht="16" x14ac:dyDescent="0.45">
      <c r="A11" s="25"/>
      <c r="B11" s="150" t="s">
        <v>223</v>
      </c>
      <c r="C11" s="151" t="s">
        <v>221</v>
      </c>
      <c r="D11" s="151" t="s">
        <v>224</v>
      </c>
      <c r="E11" s="151" t="s">
        <v>425</v>
      </c>
      <c r="F11" s="151" t="s">
        <v>226</v>
      </c>
      <c r="G11" s="25"/>
      <c r="H11" s="25"/>
      <c r="I11" s="25"/>
      <c r="J11" s="25"/>
      <c r="K11" s="152" t="s">
        <v>16</v>
      </c>
      <c r="L11" s="153"/>
      <c r="M11" s="153"/>
      <c r="N11" s="153"/>
      <c r="O11" s="153"/>
      <c r="P11" s="153"/>
      <c r="Q11" s="25"/>
    </row>
    <row r="12" spans="1:26" ht="16" x14ac:dyDescent="0.45">
      <c r="A12" s="25"/>
      <c r="B12" s="154" t="s">
        <v>23</v>
      </c>
      <c r="C12" s="155">
        <v>5000</v>
      </c>
      <c r="D12" s="155">
        <v>18</v>
      </c>
      <c r="E12" s="156">
        <f>C12*D12</f>
        <v>90000</v>
      </c>
      <c r="F12" s="156">
        <f>E12*$C$9</f>
        <v>13500</v>
      </c>
      <c r="G12" s="25"/>
      <c r="H12" s="25"/>
      <c r="I12" s="25"/>
      <c r="J12" s="25"/>
      <c r="K12" s="60"/>
      <c r="L12" s="25"/>
      <c r="M12" s="25"/>
      <c r="N12" s="25"/>
      <c r="O12" s="25"/>
      <c r="P12" s="25"/>
      <c r="Q12" s="25"/>
    </row>
    <row r="13" spans="1:26" ht="16" x14ac:dyDescent="0.45">
      <c r="A13" s="25"/>
      <c r="B13" s="154" t="s">
        <v>24</v>
      </c>
      <c r="C13" s="155">
        <v>7500</v>
      </c>
      <c r="D13" s="155">
        <v>24</v>
      </c>
      <c r="E13" s="156">
        <f t="shared" ref="E13:E21" si="0">C13*D13</f>
        <v>180000</v>
      </c>
      <c r="F13" s="156">
        <f t="shared" ref="F13:F21" si="1">E13*$C$9</f>
        <v>27000</v>
      </c>
      <c r="G13" s="25"/>
      <c r="H13" s="25"/>
      <c r="I13" s="25"/>
      <c r="J13" s="25"/>
      <c r="K13" s="60" t="s">
        <v>2135</v>
      </c>
      <c r="L13" s="25"/>
      <c r="M13" s="25"/>
      <c r="N13" s="25"/>
      <c r="O13" s="25"/>
      <c r="P13" s="25"/>
      <c r="Q13" s="25"/>
    </row>
    <row r="14" spans="1:26" ht="16" x14ac:dyDescent="0.45">
      <c r="A14" s="25"/>
      <c r="B14" s="154" t="s">
        <v>227</v>
      </c>
      <c r="C14" s="155">
        <v>3250</v>
      </c>
      <c r="D14" s="155">
        <v>12</v>
      </c>
      <c r="E14" s="156">
        <f t="shared" si="0"/>
        <v>39000</v>
      </c>
      <c r="F14" s="156">
        <f t="shared" si="1"/>
        <v>5850</v>
      </c>
      <c r="G14" s="25"/>
      <c r="H14" s="25"/>
      <c r="I14" s="25"/>
      <c r="J14" s="25"/>
      <c r="L14" s="25"/>
      <c r="M14" s="25"/>
      <c r="N14" s="25"/>
      <c r="O14" s="25"/>
      <c r="P14" s="25"/>
      <c r="Q14" s="25"/>
    </row>
    <row r="15" spans="1:26" ht="16" x14ac:dyDescent="0.45">
      <c r="A15" s="25"/>
      <c r="B15" s="154" t="s">
        <v>28</v>
      </c>
      <c r="C15" s="155">
        <v>3750</v>
      </c>
      <c r="D15" s="155">
        <v>27</v>
      </c>
      <c r="E15" s="156">
        <f t="shared" si="0"/>
        <v>101250</v>
      </c>
      <c r="F15" s="156">
        <f t="shared" si="1"/>
        <v>15187.5</v>
      </c>
      <c r="G15" s="25"/>
      <c r="H15" s="25"/>
      <c r="I15" s="25"/>
      <c r="J15" s="25"/>
      <c r="K15" s="25"/>
      <c r="L15" s="25"/>
      <c r="M15" s="25"/>
      <c r="N15" s="25"/>
      <c r="O15" s="25"/>
      <c r="P15" s="25"/>
      <c r="Q15" s="25"/>
    </row>
    <row r="16" spans="1:26" ht="16" x14ac:dyDescent="0.45">
      <c r="A16" s="25"/>
      <c r="B16" s="154" t="s">
        <v>29</v>
      </c>
      <c r="C16" s="155">
        <v>5750</v>
      </c>
      <c r="D16" s="155">
        <v>19</v>
      </c>
      <c r="E16" s="156">
        <f t="shared" si="0"/>
        <v>109250</v>
      </c>
      <c r="F16" s="156">
        <f t="shared" si="1"/>
        <v>16387.5</v>
      </c>
      <c r="G16" s="25"/>
      <c r="H16" s="25"/>
      <c r="I16" s="25"/>
      <c r="J16" s="25"/>
      <c r="K16" s="25"/>
      <c r="L16" s="25"/>
      <c r="M16" s="25"/>
      <c r="N16" s="25">
        <v>1</v>
      </c>
      <c r="O16" s="25"/>
      <c r="P16" s="25"/>
      <c r="Q16" s="25"/>
    </row>
    <row r="17" spans="1:17" ht="16" x14ac:dyDescent="0.45">
      <c r="A17" s="25"/>
      <c r="B17" s="154" t="s">
        <v>30</v>
      </c>
      <c r="C17" s="155">
        <v>4000</v>
      </c>
      <c r="D17" s="155">
        <v>13</v>
      </c>
      <c r="E17" s="156">
        <f t="shared" si="0"/>
        <v>52000</v>
      </c>
      <c r="F17" s="156">
        <f t="shared" si="1"/>
        <v>7800</v>
      </c>
      <c r="G17" s="25"/>
      <c r="H17" s="25"/>
      <c r="I17" s="25"/>
      <c r="J17" s="25"/>
      <c r="K17" s="25"/>
      <c r="L17" s="25"/>
      <c r="M17" s="25"/>
      <c r="N17" s="25"/>
      <c r="O17" s="25"/>
      <c r="P17" s="25"/>
      <c r="Q17" s="25"/>
    </row>
    <row r="18" spans="1:17" ht="16" x14ac:dyDescent="0.45">
      <c r="A18" s="25"/>
      <c r="B18" s="154" t="s">
        <v>31</v>
      </c>
      <c r="C18" s="155">
        <v>3750</v>
      </c>
      <c r="D18" s="155">
        <v>13</v>
      </c>
      <c r="E18" s="156">
        <f t="shared" si="0"/>
        <v>48750</v>
      </c>
      <c r="F18" s="156">
        <f t="shared" si="1"/>
        <v>7312.5</v>
      </c>
      <c r="G18" s="25"/>
      <c r="H18" s="25"/>
      <c r="I18" s="25"/>
      <c r="J18" s="25"/>
      <c r="K18" s="25"/>
      <c r="L18" s="25"/>
      <c r="M18" s="25">
        <v>10</v>
      </c>
      <c r="N18" s="25"/>
      <c r="O18" s="25"/>
      <c r="P18" s="25"/>
      <c r="Q18" s="25"/>
    </row>
    <row r="19" spans="1:17" ht="16" x14ac:dyDescent="0.45">
      <c r="A19" s="25"/>
      <c r="B19" s="154" t="s">
        <v>32</v>
      </c>
      <c r="C19" s="155">
        <v>6750</v>
      </c>
      <c r="D19" s="155">
        <v>28</v>
      </c>
      <c r="E19" s="156">
        <f t="shared" si="0"/>
        <v>189000</v>
      </c>
      <c r="F19" s="156">
        <f t="shared" si="1"/>
        <v>28350</v>
      </c>
      <c r="G19" s="25"/>
      <c r="H19" s="25"/>
      <c r="I19" s="25"/>
      <c r="J19" s="25"/>
      <c r="K19" s="25"/>
      <c r="L19" s="25"/>
      <c r="M19" s="25"/>
      <c r="N19" s="25"/>
      <c r="O19" s="25"/>
      <c r="P19" s="25"/>
      <c r="Q19" s="25"/>
    </row>
    <row r="20" spans="1:17" ht="16" x14ac:dyDescent="0.45">
      <c r="A20" s="25"/>
      <c r="B20" s="154" t="s">
        <v>33</v>
      </c>
      <c r="C20" s="155">
        <v>2750</v>
      </c>
      <c r="D20" s="155">
        <v>11</v>
      </c>
      <c r="E20" s="156">
        <f t="shared" si="0"/>
        <v>30250</v>
      </c>
      <c r="F20" s="156">
        <f t="shared" si="1"/>
        <v>4537.5</v>
      </c>
      <c r="G20" s="25"/>
      <c r="H20" s="25"/>
      <c r="I20" s="25"/>
      <c r="J20" s="25"/>
      <c r="K20" s="25"/>
      <c r="L20" s="25"/>
      <c r="M20" s="25"/>
      <c r="N20" s="25"/>
      <c r="O20" s="25"/>
      <c r="P20" s="25"/>
      <c r="Q20" s="25"/>
    </row>
    <row r="21" spans="1:17" ht="16" x14ac:dyDescent="0.45">
      <c r="A21" s="25"/>
      <c r="B21" s="154" t="s">
        <v>34</v>
      </c>
      <c r="C21" s="155">
        <v>6000</v>
      </c>
      <c r="D21" s="155">
        <v>21</v>
      </c>
      <c r="E21" s="156">
        <f t="shared" si="0"/>
        <v>126000</v>
      </c>
      <c r="F21" s="156">
        <f t="shared" si="1"/>
        <v>18900</v>
      </c>
      <c r="G21" s="25"/>
      <c r="H21" s="25"/>
      <c r="I21" s="25"/>
      <c r="J21" s="25"/>
      <c r="K21" s="25"/>
      <c r="L21" s="25"/>
      <c r="M21" s="25"/>
      <c r="N21" s="25"/>
      <c r="O21" s="25"/>
      <c r="P21" s="25"/>
      <c r="Q21" s="25"/>
    </row>
    <row r="22" spans="1:17" ht="16" x14ac:dyDescent="0.45">
      <c r="A22" s="25"/>
      <c r="B22" s="25"/>
      <c r="C22" s="25"/>
      <c r="D22" s="25"/>
      <c r="E22" s="25"/>
      <c r="F22" s="148"/>
      <c r="G22" s="25"/>
      <c r="H22" s="25"/>
      <c r="I22" s="25"/>
      <c r="J22" s="25"/>
      <c r="K22" s="25"/>
      <c r="L22" s="25"/>
      <c r="M22" s="25"/>
      <c r="N22" s="25"/>
      <c r="O22" s="25"/>
      <c r="P22" s="25"/>
      <c r="Q22" s="25"/>
    </row>
    <row r="23" spans="1:17" ht="16" x14ac:dyDescent="0.45">
      <c r="A23" s="25"/>
      <c r="B23" s="25"/>
      <c r="C23" s="25"/>
      <c r="D23" s="25"/>
      <c r="E23" s="25"/>
      <c r="F23" s="25"/>
      <c r="G23" s="25"/>
      <c r="H23" s="25"/>
      <c r="I23" s="25"/>
      <c r="J23" s="25"/>
      <c r="K23" s="25"/>
      <c r="L23" s="25"/>
      <c r="M23" s="25"/>
      <c r="N23" s="25"/>
      <c r="O23" s="25"/>
      <c r="P23" s="25"/>
      <c r="Q23" s="25"/>
    </row>
    <row r="24" spans="1:17" ht="16" x14ac:dyDescent="0.45">
      <c r="A24" s="25" t="s">
        <v>14</v>
      </c>
      <c r="B24" s="157" t="s">
        <v>219</v>
      </c>
      <c r="C24" s="158"/>
      <c r="D24" s="158"/>
      <c r="E24" s="158"/>
      <c r="F24" s="158"/>
      <c r="G24" s="158"/>
      <c r="H24" s="158"/>
      <c r="I24" s="158"/>
      <c r="J24" s="25"/>
      <c r="K24" s="25"/>
      <c r="L24" s="25"/>
      <c r="M24" s="25"/>
      <c r="N24" s="25"/>
      <c r="O24" s="25"/>
      <c r="P24" s="25"/>
      <c r="Q24" s="25"/>
    </row>
    <row r="25" spans="1:17" ht="16" x14ac:dyDescent="0.45">
      <c r="A25" s="25"/>
      <c r="B25" s="25"/>
      <c r="C25" s="25"/>
      <c r="D25" s="25"/>
      <c r="E25" s="25"/>
      <c r="F25" s="25"/>
      <c r="G25" s="25"/>
      <c r="H25" s="25"/>
      <c r="I25" s="25"/>
      <c r="J25" s="25"/>
      <c r="K25" s="25"/>
      <c r="L25" s="25"/>
      <c r="M25" s="25"/>
      <c r="N25" s="25"/>
      <c r="O25" s="25"/>
      <c r="P25" s="25"/>
      <c r="Q25" s="25"/>
    </row>
    <row r="26" spans="1:17" ht="16" x14ac:dyDescent="0.45">
      <c r="A26" s="25"/>
      <c r="B26" s="148" t="s">
        <v>228</v>
      </c>
      <c r="C26" s="148"/>
      <c r="D26" s="148" t="s">
        <v>229</v>
      </c>
      <c r="E26" s="148"/>
      <c r="F26" s="148"/>
      <c r="G26" s="148"/>
      <c r="H26" s="148"/>
      <c r="I26" s="25"/>
      <c r="J26" s="25"/>
      <c r="K26" s="152" t="s">
        <v>16</v>
      </c>
      <c r="L26" s="153"/>
      <c r="M26" s="153"/>
      <c r="N26" s="153"/>
      <c r="O26" s="153"/>
      <c r="P26" s="153"/>
      <c r="Q26" s="25"/>
    </row>
    <row r="27" spans="1:17" ht="16" x14ac:dyDescent="0.45">
      <c r="A27" s="25"/>
      <c r="B27" s="148"/>
      <c r="C27" s="148"/>
      <c r="D27" s="159" t="s">
        <v>230</v>
      </c>
      <c r="E27" s="159" t="s">
        <v>231</v>
      </c>
      <c r="F27" s="159" t="s">
        <v>232</v>
      </c>
      <c r="G27" s="159" t="s">
        <v>233</v>
      </c>
      <c r="H27" s="159" t="s">
        <v>234</v>
      </c>
      <c r="I27" s="25"/>
      <c r="J27" s="25"/>
      <c r="K27" s="60"/>
      <c r="L27" s="25"/>
      <c r="M27" s="25"/>
      <c r="N27" s="25"/>
      <c r="O27" s="25"/>
      <c r="P27" s="25"/>
      <c r="Q27" s="25"/>
    </row>
    <row r="28" spans="1:17" ht="16" x14ac:dyDescent="0.45">
      <c r="A28" s="25"/>
      <c r="B28" s="160" t="s">
        <v>235</v>
      </c>
      <c r="C28" s="102"/>
      <c r="D28" s="161">
        <v>0.25</v>
      </c>
      <c r="E28" s="161">
        <v>0.2</v>
      </c>
      <c r="F28" s="161">
        <v>0.3</v>
      </c>
      <c r="G28" s="161">
        <v>0.1</v>
      </c>
      <c r="H28" s="161">
        <v>0.15</v>
      </c>
      <c r="I28" s="25"/>
      <c r="J28" s="25"/>
      <c r="K28" s="60" t="s">
        <v>236</v>
      </c>
      <c r="L28" s="25"/>
      <c r="M28" s="25"/>
      <c r="N28" s="25"/>
      <c r="O28" s="25"/>
      <c r="P28" s="25"/>
      <c r="Q28" s="25"/>
    </row>
    <row r="29" spans="1:17" ht="16" x14ac:dyDescent="0.45">
      <c r="A29" s="25"/>
      <c r="B29" s="162" t="s">
        <v>237</v>
      </c>
      <c r="C29" s="163">
        <v>900</v>
      </c>
      <c r="D29" s="164">
        <f>D$28*$C29</f>
        <v>225</v>
      </c>
      <c r="E29" s="164">
        <f>E$28*$C29</f>
        <v>180</v>
      </c>
      <c r="F29" s="164">
        <f>F$28*$C29</f>
        <v>270</v>
      </c>
      <c r="G29" s="164">
        <f t="shared" ref="G29:H29" si="2">G28*$C$29</f>
        <v>90</v>
      </c>
      <c r="H29" s="164">
        <f t="shared" si="2"/>
        <v>135</v>
      </c>
      <c r="I29" s="25"/>
      <c r="J29" s="25"/>
      <c r="K29" s="25"/>
      <c r="L29" s="25"/>
      <c r="M29" s="25"/>
      <c r="N29" s="25"/>
      <c r="O29" s="25"/>
      <c r="P29" s="25"/>
      <c r="Q29" s="25"/>
    </row>
    <row r="30" spans="1:17" ht="16" x14ac:dyDescent="0.45">
      <c r="A30" s="25"/>
      <c r="B30" s="165" t="s">
        <v>238</v>
      </c>
      <c r="C30" s="163">
        <v>800</v>
      </c>
      <c r="D30" s="164">
        <f t="shared" ref="D30:F38" si="3">D$28*$C30</f>
        <v>200</v>
      </c>
      <c r="E30" s="164">
        <f t="shared" si="3"/>
        <v>160</v>
      </c>
      <c r="F30" s="164">
        <f t="shared" si="3"/>
        <v>240</v>
      </c>
      <c r="G30" s="164">
        <f t="shared" ref="G30:G38" si="4">G29*$C$29</f>
        <v>81000</v>
      </c>
      <c r="H30" s="164">
        <f t="shared" ref="H30:H38" si="5">H29*$C$29</f>
        <v>121500</v>
      </c>
      <c r="I30" s="25"/>
      <c r="J30" s="25"/>
      <c r="K30" s="25"/>
      <c r="L30" s="25"/>
      <c r="M30" s="25"/>
      <c r="N30" s="25"/>
      <c r="O30" s="25"/>
      <c r="P30" s="25"/>
      <c r="Q30" s="25"/>
    </row>
    <row r="31" spans="1:17" ht="16" x14ac:dyDescent="0.45">
      <c r="A31" s="25"/>
      <c r="B31" s="165" t="s">
        <v>239</v>
      </c>
      <c r="C31" s="163">
        <v>600</v>
      </c>
      <c r="D31" s="164">
        <f t="shared" si="3"/>
        <v>150</v>
      </c>
      <c r="E31" s="164">
        <f t="shared" si="3"/>
        <v>120</v>
      </c>
      <c r="F31" s="164">
        <f t="shared" si="3"/>
        <v>180</v>
      </c>
      <c r="G31" s="164">
        <f t="shared" si="4"/>
        <v>72900000</v>
      </c>
      <c r="H31" s="164">
        <f t="shared" si="5"/>
        <v>109350000</v>
      </c>
      <c r="I31" s="25"/>
      <c r="J31" s="25"/>
      <c r="K31" s="25"/>
      <c r="L31" s="25"/>
      <c r="M31" s="25"/>
      <c r="N31" s="25"/>
      <c r="O31" s="25"/>
      <c r="P31" s="25"/>
      <c r="Q31" s="25"/>
    </row>
    <row r="32" spans="1:17" ht="16" x14ac:dyDescent="0.45">
      <c r="A32" s="25"/>
      <c r="B32" s="165" t="s">
        <v>240</v>
      </c>
      <c r="C32" s="163">
        <v>200</v>
      </c>
      <c r="D32" s="164">
        <f t="shared" si="3"/>
        <v>50</v>
      </c>
      <c r="E32" s="164">
        <f t="shared" si="3"/>
        <v>40</v>
      </c>
      <c r="F32" s="164">
        <f t="shared" si="3"/>
        <v>60</v>
      </c>
      <c r="G32" s="164">
        <f t="shared" si="4"/>
        <v>65610000000</v>
      </c>
      <c r="H32" s="164">
        <f t="shared" si="5"/>
        <v>98415000000</v>
      </c>
      <c r="I32" s="25"/>
      <c r="J32" s="25"/>
      <c r="K32" s="25"/>
      <c r="L32" s="25"/>
      <c r="M32" s="25"/>
      <c r="N32" s="25"/>
      <c r="O32" s="25"/>
      <c r="P32" s="25"/>
      <c r="Q32" s="25"/>
    </row>
    <row r="33" spans="1:17" ht="16" x14ac:dyDescent="0.45">
      <c r="A33" s="25"/>
      <c r="B33" s="165" t="s">
        <v>241</v>
      </c>
      <c r="C33" s="163">
        <v>400</v>
      </c>
      <c r="D33" s="164">
        <f t="shared" si="3"/>
        <v>100</v>
      </c>
      <c r="E33" s="164">
        <f t="shared" si="3"/>
        <v>80</v>
      </c>
      <c r="F33" s="164">
        <f t="shared" si="3"/>
        <v>120</v>
      </c>
      <c r="G33" s="164">
        <f t="shared" si="4"/>
        <v>59049000000000</v>
      </c>
      <c r="H33" s="164">
        <f t="shared" si="5"/>
        <v>88573500000000</v>
      </c>
      <c r="I33" s="25"/>
      <c r="J33" s="25"/>
      <c r="K33" s="25"/>
      <c r="L33" s="25"/>
      <c r="M33" s="25"/>
      <c r="N33" s="25"/>
      <c r="O33" s="25"/>
      <c r="P33" s="25"/>
      <c r="Q33" s="25"/>
    </row>
    <row r="34" spans="1:17" ht="16" x14ac:dyDescent="0.45">
      <c r="A34" s="25"/>
      <c r="B34" s="165" t="s">
        <v>242</v>
      </c>
      <c r="C34" s="163">
        <v>500</v>
      </c>
      <c r="D34" s="164">
        <f t="shared" si="3"/>
        <v>125</v>
      </c>
      <c r="E34" s="164">
        <f t="shared" si="3"/>
        <v>100</v>
      </c>
      <c r="F34" s="164">
        <f t="shared" si="3"/>
        <v>150</v>
      </c>
      <c r="G34" s="164">
        <f t="shared" si="4"/>
        <v>5.31441E+16</v>
      </c>
      <c r="H34" s="164">
        <f t="shared" si="5"/>
        <v>7.971615E+16</v>
      </c>
      <c r="I34" s="25"/>
      <c r="J34" s="25"/>
      <c r="K34" s="25"/>
      <c r="L34" s="25"/>
      <c r="M34" s="25"/>
      <c r="N34" s="25"/>
      <c r="O34" s="25"/>
      <c r="P34" s="25"/>
      <c r="Q34" s="25"/>
    </row>
    <row r="35" spans="1:17" ht="16" x14ac:dyDescent="0.45">
      <c r="A35" s="25"/>
      <c r="B35" s="165" t="s">
        <v>243</v>
      </c>
      <c r="C35" s="163">
        <v>600</v>
      </c>
      <c r="D35" s="164">
        <f t="shared" si="3"/>
        <v>150</v>
      </c>
      <c r="E35" s="164">
        <f t="shared" si="3"/>
        <v>120</v>
      </c>
      <c r="F35" s="164">
        <f t="shared" si="3"/>
        <v>180</v>
      </c>
      <c r="G35" s="164">
        <f t="shared" si="4"/>
        <v>4.782969E+19</v>
      </c>
      <c r="H35" s="164">
        <f t="shared" si="5"/>
        <v>7.1744535000000004E+19</v>
      </c>
      <c r="I35" s="25"/>
      <c r="J35" s="25"/>
      <c r="K35" s="25"/>
      <c r="L35" s="25"/>
      <c r="M35" s="25"/>
      <c r="N35" s="25"/>
      <c r="O35" s="25"/>
      <c r="P35" s="25"/>
      <c r="Q35" s="25"/>
    </row>
    <row r="36" spans="1:17" ht="16" x14ac:dyDescent="0.45">
      <c r="A36" s="25"/>
      <c r="B36" s="165" t="s">
        <v>244</v>
      </c>
      <c r="C36" s="163">
        <v>700</v>
      </c>
      <c r="D36" s="164">
        <f t="shared" si="3"/>
        <v>175</v>
      </c>
      <c r="E36" s="164">
        <f t="shared" si="3"/>
        <v>140</v>
      </c>
      <c r="F36" s="164">
        <f t="shared" si="3"/>
        <v>210</v>
      </c>
      <c r="G36" s="164">
        <f t="shared" si="4"/>
        <v>4.3046721000000002E+22</v>
      </c>
      <c r="H36" s="164">
        <f t="shared" si="5"/>
        <v>6.4570081500000003E+22</v>
      </c>
      <c r="I36" s="25"/>
      <c r="J36" s="25"/>
      <c r="K36" s="25"/>
      <c r="L36" s="25"/>
      <c r="M36" s="25"/>
      <c r="N36" s="25"/>
      <c r="O36" s="25"/>
      <c r="P36" s="25"/>
      <c r="Q36" s="25"/>
    </row>
    <row r="37" spans="1:17" ht="16" x14ac:dyDescent="0.45">
      <c r="A37" s="25"/>
      <c r="B37" s="165" t="s">
        <v>245</v>
      </c>
      <c r="C37" s="163">
        <v>800</v>
      </c>
      <c r="D37" s="164">
        <f t="shared" si="3"/>
        <v>200</v>
      </c>
      <c r="E37" s="164">
        <f t="shared" si="3"/>
        <v>160</v>
      </c>
      <c r="F37" s="164">
        <f t="shared" si="3"/>
        <v>240</v>
      </c>
      <c r="G37" s="164">
        <f t="shared" si="4"/>
        <v>3.8742048900000001E+25</v>
      </c>
      <c r="H37" s="164">
        <f t="shared" si="5"/>
        <v>5.8113073350000001E+25</v>
      </c>
      <c r="I37" s="25"/>
      <c r="J37" s="25"/>
      <c r="K37" s="25"/>
      <c r="L37" s="25"/>
      <c r="M37" s="25"/>
      <c r="N37" s="25"/>
      <c r="O37" s="25"/>
      <c r="P37" s="25"/>
      <c r="Q37" s="25"/>
    </row>
    <row r="38" spans="1:17" ht="16" x14ac:dyDescent="0.45">
      <c r="A38" s="25"/>
      <c r="B38" s="166" t="s">
        <v>246</v>
      </c>
      <c r="C38" s="163">
        <v>900</v>
      </c>
      <c r="D38" s="164">
        <f t="shared" si="3"/>
        <v>225</v>
      </c>
      <c r="E38" s="164">
        <f t="shared" si="3"/>
        <v>180</v>
      </c>
      <c r="F38" s="164">
        <f t="shared" si="3"/>
        <v>270</v>
      </c>
      <c r="G38" s="164">
        <f t="shared" si="4"/>
        <v>3.486784401E+28</v>
      </c>
      <c r="H38" s="164">
        <f t="shared" si="5"/>
        <v>5.2301766014999997E+28</v>
      </c>
      <c r="I38" s="25"/>
      <c r="J38" s="25"/>
      <c r="K38" s="25"/>
      <c r="L38" s="25"/>
      <c r="M38" s="25"/>
      <c r="N38" s="25"/>
      <c r="O38" s="25"/>
      <c r="P38" s="25"/>
      <c r="Q38" s="25"/>
    </row>
    <row r="39" spans="1:17" ht="16" x14ac:dyDescent="0.45">
      <c r="A39" s="25"/>
      <c r="B39" s="25"/>
      <c r="C39" s="25"/>
      <c r="D39" s="25"/>
      <c r="E39" s="25"/>
      <c r="F39" s="25"/>
      <c r="G39" s="25"/>
      <c r="H39" s="25"/>
      <c r="I39" s="25"/>
      <c r="J39" s="25"/>
      <c r="K39" s="25"/>
      <c r="L39" s="25"/>
      <c r="M39" s="25"/>
      <c r="N39" s="25"/>
      <c r="O39" s="25"/>
      <c r="P39" s="25"/>
      <c r="Q39" s="25"/>
    </row>
    <row r="40" spans="1:17" ht="16" x14ac:dyDescent="0.45">
      <c r="A40" s="25"/>
      <c r="B40" s="25"/>
      <c r="C40" s="25"/>
      <c r="D40" s="25"/>
      <c r="E40" s="25"/>
      <c r="F40" s="25"/>
      <c r="G40" s="25"/>
      <c r="H40" s="25"/>
      <c r="I40" s="25"/>
      <c r="J40" s="25"/>
      <c r="K40" s="25"/>
      <c r="L40" s="25"/>
      <c r="M40" s="25"/>
      <c r="N40" s="25"/>
      <c r="O40" s="25"/>
      <c r="P40" s="25"/>
      <c r="Q40" s="25"/>
    </row>
    <row r="41" spans="1:17" ht="16" x14ac:dyDescent="0.45">
      <c r="A41" s="25" t="s">
        <v>14</v>
      </c>
      <c r="B41" s="157" t="s">
        <v>520</v>
      </c>
      <c r="C41" s="158"/>
      <c r="D41" s="158"/>
      <c r="E41" s="158"/>
      <c r="F41" s="158"/>
      <c r="G41" s="158"/>
      <c r="H41" s="158"/>
      <c r="I41" s="158"/>
      <c r="J41" s="25"/>
      <c r="K41" s="25"/>
      <c r="L41" s="25"/>
      <c r="M41" s="25"/>
      <c r="N41" s="25"/>
      <c r="O41" s="25"/>
      <c r="P41" s="25"/>
      <c r="Q41" s="25"/>
    </row>
    <row r="42" spans="1:17" ht="16" x14ac:dyDescent="0.45">
      <c r="A42" s="25"/>
      <c r="B42" s="25"/>
      <c r="C42" s="25"/>
      <c r="D42" s="25"/>
      <c r="E42" s="25"/>
      <c r="F42" s="25"/>
      <c r="G42" s="25"/>
      <c r="H42" s="25"/>
      <c r="I42" s="25"/>
      <c r="J42" s="25"/>
      <c r="K42" s="25"/>
      <c r="L42" s="25"/>
      <c r="M42" s="25"/>
      <c r="N42" s="25"/>
      <c r="O42" s="25"/>
      <c r="P42" s="25"/>
      <c r="Q42" s="25"/>
    </row>
    <row r="43" spans="1:17" ht="16" x14ac:dyDescent="0.45">
      <c r="A43" s="25"/>
      <c r="B43" s="102" t="s">
        <v>247</v>
      </c>
      <c r="C43" s="25"/>
      <c r="D43" s="25"/>
      <c r="E43" s="25"/>
      <c r="F43" s="25"/>
      <c r="G43" s="25"/>
      <c r="H43" s="25"/>
      <c r="I43" s="25"/>
      <c r="J43" s="25"/>
      <c r="K43" s="25"/>
      <c r="L43" s="25"/>
      <c r="M43" s="25"/>
      <c r="N43" s="25"/>
      <c r="O43" s="25"/>
      <c r="P43" s="25"/>
      <c r="Q43" s="25"/>
    </row>
    <row r="44" spans="1:17" ht="16" x14ac:dyDescent="0.45">
      <c r="A44" s="25"/>
      <c r="B44" s="25"/>
      <c r="C44" s="25"/>
      <c r="D44" s="25"/>
      <c r="E44" s="25"/>
      <c r="F44" s="25"/>
      <c r="G44" s="25"/>
      <c r="H44" s="25"/>
      <c r="I44" s="25"/>
      <c r="J44" s="25"/>
      <c r="K44" s="25"/>
      <c r="L44" s="25"/>
      <c r="M44" s="25"/>
      <c r="N44" s="25"/>
      <c r="O44" s="25"/>
      <c r="P44" s="25"/>
      <c r="Q44" s="25"/>
    </row>
    <row r="45" spans="1:17" ht="16" x14ac:dyDescent="0.45">
      <c r="A45" s="25"/>
      <c r="B45" s="167" t="s">
        <v>248</v>
      </c>
      <c r="C45" s="25"/>
      <c r="D45" s="25"/>
      <c r="E45" s="25"/>
      <c r="F45" s="25"/>
      <c r="G45" s="25"/>
      <c r="H45" s="25"/>
      <c r="I45" s="25"/>
      <c r="J45" s="25"/>
      <c r="K45" s="25"/>
      <c r="L45" s="25"/>
      <c r="M45" s="25"/>
      <c r="N45" s="25"/>
      <c r="O45" s="25"/>
      <c r="P45" s="25"/>
      <c r="Q45" s="25"/>
    </row>
    <row r="46" spans="1:17" ht="16" x14ac:dyDescent="0.45">
      <c r="A46" s="25"/>
      <c r="B46" s="167" t="s">
        <v>249</v>
      </c>
      <c r="C46" s="25"/>
      <c r="D46" s="25"/>
      <c r="E46" s="25"/>
      <c r="F46" s="25"/>
      <c r="G46" s="25"/>
      <c r="H46" s="25"/>
      <c r="I46" s="25"/>
      <c r="J46" s="25"/>
      <c r="K46" s="25"/>
      <c r="L46" s="25"/>
      <c r="M46" s="25"/>
      <c r="N46" s="25"/>
      <c r="O46" s="25"/>
      <c r="P46" s="25"/>
      <c r="Q46" s="25"/>
    </row>
    <row r="47" spans="1:17" ht="16" x14ac:dyDescent="0.45">
      <c r="A47" s="25"/>
      <c r="B47" s="167" t="s">
        <v>250</v>
      </c>
      <c r="C47" s="25"/>
      <c r="D47" s="25"/>
      <c r="E47" s="25"/>
      <c r="F47" s="25"/>
      <c r="G47" s="25"/>
      <c r="H47" s="25"/>
      <c r="I47" s="25"/>
      <c r="J47" s="25"/>
      <c r="K47" s="25"/>
      <c r="L47" s="25"/>
      <c r="M47" s="25"/>
      <c r="N47" s="25"/>
      <c r="O47" s="25"/>
      <c r="P47" s="25"/>
      <c r="Q47" s="25"/>
    </row>
    <row r="48" spans="1:17" ht="16" x14ac:dyDescent="0.45">
      <c r="A48" s="25"/>
      <c r="B48" s="25"/>
      <c r="C48" s="25"/>
      <c r="D48" s="25"/>
      <c r="E48" s="25"/>
      <c r="F48" s="25"/>
      <c r="G48" s="25"/>
      <c r="H48" s="25"/>
      <c r="I48" s="25"/>
      <c r="J48" s="25"/>
      <c r="K48" s="25"/>
      <c r="L48" s="25"/>
      <c r="M48" s="25"/>
      <c r="N48" s="25"/>
      <c r="O48" s="25"/>
      <c r="P48" s="25"/>
      <c r="Q48" s="25"/>
    </row>
    <row r="49" spans="1:17" ht="16" x14ac:dyDescent="0.45">
      <c r="A49" s="25"/>
      <c r="B49" s="168" t="s">
        <v>251</v>
      </c>
      <c r="C49" s="169"/>
      <c r="D49" s="170"/>
      <c r="E49" s="171"/>
      <c r="F49" s="25"/>
      <c r="G49" s="25"/>
      <c r="H49" s="25"/>
      <c r="I49" s="25"/>
      <c r="J49" s="25"/>
      <c r="K49" s="25"/>
      <c r="L49" s="25"/>
      <c r="M49" s="25"/>
      <c r="N49" s="25"/>
      <c r="O49" s="25"/>
      <c r="P49" s="25"/>
      <c r="Q49" s="25"/>
    </row>
    <row r="50" spans="1:17" ht="16" x14ac:dyDescent="0.45">
      <c r="A50" s="25"/>
      <c r="B50" s="172" t="s">
        <v>252</v>
      </c>
      <c r="C50" s="25"/>
      <c r="D50" s="25"/>
      <c r="E50" s="173"/>
      <c r="F50" s="25"/>
      <c r="G50" s="25"/>
      <c r="H50" s="25"/>
      <c r="I50" s="25"/>
      <c r="J50" s="25"/>
      <c r="K50" s="25"/>
      <c r="L50" s="25"/>
      <c r="M50" s="25"/>
      <c r="N50" s="25"/>
      <c r="O50" s="25"/>
      <c r="P50" s="25"/>
      <c r="Q50" s="25"/>
    </row>
    <row r="51" spans="1:17" ht="16" x14ac:dyDescent="0.45">
      <c r="A51" s="25"/>
      <c r="B51" s="174"/>
      <c r="C51" s="153"/>
      <c r="D51" s="153"/>
      <c r="E51" s="175"/>
      <c r="F51" s="25"/>
      <c r="G51" s="25"/>
      <c r="H51" s="25"/>
      <c r="I51" s="25"/>
      <c r="J51" s="25"/>
      <c r="K51" s="25"/>
      <c r="L51" s="25"/>
      <c r="M51" s="25"/>
      <c r="N51" s="25"/>
      <c r="O51" s="25"/>
      <c r="P51" s="25"/>
      <c r="Q51" s="25"/>
    </row>
    <row r="52" spans="1:17" ht="16" x14ac:dyDescent="0.45">
      <c r="A52" s="25"/>
      <c r="B52" s="176"/>
      <c r="C52" s="25"/>
      <c r="D52" s="25"/>
      <c r="E52" s="25"/>
      <c r="F52" s="25"/>
      <c r="G52" s="25"/>
      <c r="H52" s="25"/>
      <c r="I52" s="25"/>
      <c r="J52" s="25"/>
      <c r="K52" s="25"/>
      <c r="L52" s="25"/>
      <c r="M52" s="25"/>
      <c r="N52" s="25"/>
      <c r="O52" s="25"/>
      <c r="P52" s="25"/>
      <c r="Q52" s="25"/>
    </row>
    <row r="53" spans="1:17" ht="16" x14ac:dyDescent="0.45">
      <c r="A53" s="25"/>
      <c r="B53" s="176"/>
      <c r="C53" s="25"/>
      <c r="D53" s="25"/>
      <c r="E53" s="25"/>
      <c r="F53" s="25"/>
      <c r="G53" s="25"/>
      <c r="H53" s="25"/>
      <c r="I53" s="25"/>
      <c r="J53" s="25"/>
      <c r="K53" s="25"/>
      <c r="L53" s="25"/>
      <c r="M53" s="25"/>
      <c r="N53" s="25"/>
      <c r="O53" s="25"/>
      <c r="P53" s="25"/>
      <c r="Q53" s="25"/>
    </row>
    <row r="54" spans="1:17" ht="16" x14ac:dyDescent="0.45">
      <c r="A54" s="25"/>
      <c r="B54" s="25" t="s">
        <v>253</v>
      </c>
      <c r="C54" s="177">
        <v>0.2</v>
      </c>
      <c r="D54" s="25"/>
      <c r="E54" s="25"/>
      <c r="F54" s="25"/>
      <c r="G54" s="25"/>
      <c r="H54" s="25"/>
      <c r="I54" s="25"/>
      <c r="J54" s="25"/>
      <c r="K54" s="25"/>
      <c r="L54" s="25"/>
      <c r="M54" s="25"/>
      <c r="N54" s="25"/>
      <c r="O54" s="25"/>
      <c r="P54" s="25"/>
      <c r="Q54" s="25"/>
    </row>
    <row r="55" spans="1:17" ht="16" x14ac:dyDescent="0.45">
      <c r="A55" s="25"/>
      <c r="B55" s="25"/>
      <c r="C55" s="25"/>
      <c r="D55" s="25"/>
      <c r="E55" s="25"/>
      <c r="F55" s="25"/>
      <c r="G55" s="25"/>
      <c r="H55" s="25"/>
      <c r="I55" s="25"/>
      <c r="J55" s="25"/>
      <c r="K55" s="25"/>
      <c r="L55" s="25"/>
      <c r="M55" s="25"/>
      <c r="N55" s="25"/>
      <c r="O55" s="25"/>
      <c r="P55" s="25"/>
      <c r="Q55" s="25"/>
    </row>
    <row r="56" spans="1:17" ht="16" x14ac:dyDescent="0.45">
      <c r="A56" s="25"/>
      <c r="B56" s="25"/>
      <c r="C56" s="25"/>
      <c r="D56" s="159" t="s">
        <v>230</v>
      </c>
      <c r="E56" s="159" t="s">
        <v>231</v>
      </c>
      <c r="F56" s="159" t="s">
        <v>232</v>
      </c>
      <c r="G56" s="159" t="s">
        <v>233</v>
      </c>
      <c r="H56" s="159" t="s">
        <v>234</v>
      </c>
      <c r="I56" s="25"/>
      <c r="J56" s="25"/>
      <c r="K56" s="25"/>
      <c r="L56" s="25"/>
      <c r="M56" s="25"/>
      <c r="N56" s="25"/>
      <c r="O56" s="25"/>
      <c r="P56" s="25"/>
      <c r="Q56" s="25"/>
    </row>
    <row r="57" spans="1:17" ht="16" x14ac:dyDescent="0.45">
      <c r="A57" s="25"/>
      <c r="B57" s="25"/>
      <c r="C57" s="25"/>
      <c r="D57" s="178">
        <v>0.12</v>
      </c>
      <c r="E57" s="179">
        <v>0.25</v>
      </c>
      <c r="F57" s="180">
        <v>0.21</v>
      </c>
      <c r="G57" s="180">
        <v>0.27</v>
      </c>
      <c r="H57" s="180">
        <v>0.15</v>
      </c>
      <c r="I57" s="25"/>
      <c r="J57" s="25"/>
      <c r="K57" s="25"/>
      <c r="L57" s="25"/>
      <c r="M57" s="25"/>
      <c r="N57" s="25"/>
      <c r="O57" s="25"/>
      <c r="P57" s="25"/>
      <c r="Q57" s="25"/>
    </row>
    <row r="58" spans="1:17" ht="16" x14ac:dyDescent="0.45">
      <c r="A58" s="25"/>
      <c r="B58" s="181" t="s">
        <v>254</v>
      </c>
      <c r="C58" s="182">
        <v>47100</v>
      </c>
      <c r="D58" s="183">
        <f>$C58*(100%-$C$54)*D$57</f>
        <v>4521.5999999999995</v>
      </c>
      <c r="E58" s="183">
        <f t="shared" ref="E58:H67" si="6">$C58*(100%-$C$54)*E$57</f>
        <v>9420</v>
      </c>
      <c r="F58" s="183">
        <f t="shared" si="6"/>
        <v>7912.7999999999993</v>
      </c>
      <c r="G58" s="183">
        <f t="shared" si="6"/>
        <v>10173.6</v>
      </c>
      <c r="H58" s="183">
        <f t="shared" si="6"/>
        <v>5652</v>
      </c>
      <c r="I58" s="25"/>
      <c r="J58" s="25"/>
      <c r="K58" s="25"/>
      <c r="L58" s="25"/>
      <c r="M58" s="25"/>
      <c r="N58" s="25"/>
      <c r="O58" s="25"/>
      <c r="P58" s="25"/>
      <c r="Q58" s="25"/>
    </row>
    <row r="59" spans="1:17" ht="16" x14ac:dyDescent="0.45">
      <c r="A59" s="25"/>
      <c r="B59" s="185" t="s">
        <v>255</v>
      </c>
      <c r="C59" s="186">
        <v>11015</v>
      </c>
      <c r="D59" s="183">
        <f t="shared" ref="D59:D67" si="7">$C59*(100%-$C$54)*D$57</f>
        <v>1057.44</v>
      </c>
      <c r="E59" s="183">
        <f t="shared" si="6"/>
        <v>2203</v>
      </c>
      <c r="F59" s="183">
        <f t="shared" si="6"/>
        <v>1850.52</v>
      </c>
      <c r="G59" s="183">
        <f t="shared" si="6"/>
        <v>2379.2400000000002</v>
      </c>
      <c r="H59" s="183">
        <f t="shared" si="6"/>
        <v>1321.8</v>
      </c>
      <c r="I59" s="25"/>
      <c r="J59" s="25"/>
      <c r="K59" s="25"/>
      <c r="L59" s="25"/>
      <c r="M59" s="25"/>
      <c r="N59" s="25"/>
      <c r="O59" s="25"/>
      <c r="P59" s="25"/>
      <c r="Q59" s="25"/>
    </row>
    <row r="60" spans="1:17" ht="16" x14ac:dyDescent="0.45">
      <c r="A60" s="25"/>
      <c r="B60" s="185" t="s">
        <v>256</v>
      </c>
      <c r="C60" s="187">
        <v>37200</v>
      </c>
      <c r="D60" s="183">
        <f t="shared" si="7"/>
        <v>3571.2</v>
      </c>
      <c r="E60" s="183">
        <f t="shared" si="6"/>
        <v>7440</v>
      </c>
      <c r="F60" s="183">
        <f t="shared" si="6"/>
        <v>6249.5999999999995</v>
      </c>
      <c r="G60" s="183">
        <f t="shared" si="6"/>
        <v>8035.2000000000007</v>
      </c>
      <c r="H60" s="183">
        <f t="shared" si="6"/>
        <v>4464</v>
      </c>
      <c r="I60" s="25"/>
      <c r="J60" s="25"/>
      <c r="K60" s="25"/>
      <c r="L60" s="25"/>
      <c r="M60" s="25"/>
      <c r="N60" s="25"/>
      <c r="O60" s="25"/>
      <c r="P60" s="25"/>
      <c r="Q60" s="25"/>
    </row>
    <row r="61" spans="1:17" ht="16" x14ac:dyDescent="0.45">
      <c r="A61" s="25"/>
      <c r="B61" s="185" t="s">
        <v>257</v>
      </c>
      <c r="C61" s="187">
        <v>41510</v>
      </c>
      <c r="D61" s="183">
        <f t="shared" si="7"/>
        <v>3984.96</v>
      </c>
      <c r="E61" s="183">
        <f t="shared" si="6"/>
        <v>8302</v>
      </c>
      <c r="F61" s="183">
        <f t="shared" si="6"/>
        <v>6973.6799999999994</v>
      </c>
      <c r="G61" s="183">
        <f t="shared" si="6"/>
        <v>8966.16</v>
      </c>
      <c r="H61" s="183">
        <f t="shared" si="6"/>
        <v>4981.2</v>
      </c>
      <c r="I61" s="25"/>
      <c r="J61" s="25"/>
      <c r="K61" s="25"/>
      <c r="L61" s="25"/>
      <c r="M61" s="25"/>
      <c r="N61" s="25"/>
      <c r="O61" s="25"/>
      <c r="P61" s="25"/>
      <c r="Q61" s="25"/>
    </row>
    <row r="62" spans="1:17" ht="16" x14ac:dyDescent="0.45">
      <c r="A62" s="25"/>
      <c r="B62" s="185" t="s">
        <v>258</v>
      </c>
      <c r="C62" s="187">
        <v>17815</v>
      </c>
      <c r="D62" s="183">
        <f t="shared" si="7"/>
        <v>1710.24</v>
      </c>
      <c r="E62" s="183">
        <f t="shared" si="6"/>
        <v>3563</v>
      </c>
      <c r="F62" s="183">
        <f t="shared" si="6"/>
        <v>2992.92</v>
      </c>
      <c r="G62" s="183">
        <f t="shared" si="6"/>
        <v>3848.0400000000004</v>
      </c>
      <c r="H62" s="183">
        <f t="shared" si="6"/>
        <v>2137.7999999999997</v>
      </c>
      <c r="I62" s="25"/>
      <c r="J62" s="25"/>
      <c r="K62" s="25"/>
      <c r="L62" s="25"/>
      <c r="M62" s="25"/>
      <c r="N62" s="25"/>
      <c r="O62" s="25"/>
      <c r="P62" s="25"/>
      <c r="Q62" s="25"/>
    </row>
    <row r="63" spans="1:17" ht="16" x14ac:dyDescent="0.45">
      <c r="A63" s="25"/>
      <c r="B63" s="185" t="s">
        <v>259</v>
      </c>
      <c r="C63" s="187">
        <v>26430</v>
      </c>
      <c r="D63" s="183">
        <f t="shared" si="7"/>
        <v>2537.2799999999997</v>
      </c>
      <c r="E63" s="183">
        <f t="shared" si="6"/>
        <v>5286</v>
      </c>
      <c r="F63" s="183">
        <f t="shared" si="6"/>
        <v>4440.24</v>
      </c>
      <c r="G63" s="183">
        <f t="shared" si="6"/>
        <v>5708.88</v>
      </c>
      <c r="H63" s="183">
        <f t="shared" si="6"/>
        <v>3171.6</v>
      </c>
      <c r="I63" s="25"/>
      <c r="J63" s="25"/>
      <c r="K63" s="25"/>
      <c r="L63" s="25"/>
      <c r="M63" s="25"/>
      <c r="N63" s="25"/>
      <c r="O63" s="25"/>
      <c r="P63" s="25"/>
      <c r="Q63" s="25"/>
    </row>
    <row r="64" spans="1:17" ht="16" x14ac:dyDescent="0.45">
      <c r="A64" s="25"/>
      <c r="B64" s="185" t="s">
        <v>260</v>
      </c>
      <c r="C64" s="187">
        <v>16295</v>
      </c>
      <c r="D64" s="183">
        <f t="shared" si="7"/>
        <v>1564.32</v>
      </c>
      <c r="E64" s="183">
        <f t="shared" si="6"/>
        <v>3259</v>
      </c>
      <c r="F64" s="183">
        <f t="shared" si="6"/>
        <v>2737.56</v>
      </c>
      <c r="G64" s="183">
        <f t="shared" si="6"/>
        <v>3519.7200000000003</v>
      </c>
      <c r="H64" s="183">
        <f t="shared" si="6"/>
        <v>1955.3999999999999</v>
      </c>
      <c r="I64" s="25"/>
      <c r="J64" s="25"/>
      <c r="K64" s="25"/>
      <c r="L64" s="25"/>
      <c r="M64" s="25"/>
      <c r="N64" s="25"/>
      <c r="O64" s="25"/>
      <c r="P64" s="25"/>
      <c r="Q64" s="25"/>
    </row>
    <row r="65" spans="1:17" ht="16" x14ac:dyDescent="0.45">
      <c r="A65" s="25"/>
      <c r="B65" s="185" t="s">
        <v>261</v>
      </c>
      <c r="C65" s="187">
        <v>48795</v>
      </c>
      <c r="D65" s="183">
        <f t="shared" si="7"/>
        <v>4684.32</v>
      </c>
      <c r="E65" s="183">
        <f t="shared" si="6"/>
        <v>9759</v>
      </c>
      <c r="F65" s="183">
        <f t="shared" si="6"/>
        <v>8197.56</v>
      </c>
      <c r="G65" s="183">
        <f t="shared" si="6"/>
        <v>10539.720000000001</v>
      </c>
      <c r="H65" s="183">
        <f t="shared" si="6"/>
        <v>5855.4</v>
      </c>
      <c r="I65" s="25"/>
      <c r="J65" s="25"/>
      <c r="K65" s="25"/>
      <c r="L65" s="25"/>
      <c r="M65" s="25"/>
      <c r="N65" s="25"/>
      <c r="O65" s="25"/>
      <c r="P65" s="25"/>
      <c r="Q65" s="25"/>
    </row>
    <row r="66" spans="1:17" ht="16" x14ac:dyDescent="0.45">
      <c r="A66" s="25"/>
      <c r="B66" s="185" t="s">
        <v>262</v>
      </c>
      <c r="C66" s="187">
        <v>30810</v>
      </c>
      <c r="D66" s="183">
        <f t="shared" si="7"/>
        <v>2957.7599999999998</v>
      </c>
      <c r="E66" s="183">
        <f t="shared" si="6"/>
        <v>6162</v>
      </c>
      <c r="F66" s="183">
        <f t="shared" si="6"/>
        <v>5176.08</v>
      </c>
      <c r="G66" s="183">
        <f t="shared" si="6"/>
        <v>6654.96</v>
      </c>
      <c r="H66" s="183">
        <f t="shared" si="6"/>
        <v>3697.2</v>
      </c>
      <c r="I66" s="25"/>
      <c r="J66" s="25"/>
      <c r="K66" s="25"/>
      <c r="L66" s="25"/>
      <c r="M66" s="25"/>
      <c r="N66" s="25"/>
      <c r="O66" s="25"/>
      <c r="P66" s="25"/>
      <c r="Q66" s="25"/>
    </row>
    <row r="67" spans="1:17" ht="16" x14ac:dyDescent="0.45">
      <c r="A67" s="25"/>
      <c r="B67" s="188" t="s">
        <v>263</v>
      </c>
      <c r="C67" s="187">
        <v>27310</v>
      </c>
      <c r="D67" s="183">
        <f t="shared" si="7"/>
        <v>2621.7599999999998</v>
      </c>
      <c r="E67" s="183">
        <f t="shared" si="6"/>
        <v>5462</v>
      </c>
      <c r="F67" s="183">
        <f t="shared" si="6"/>
        <v>4588.08</v>
      </c>
      <c r="G67" s="183">
        <f t="shared" si="6"/>
        <v>5898.96</v>
      </c>
      <c r="H67" s="183">
        <f t="shared" si="6"/>
        <v>3277.2</v>
      </c>
      <c r="I67" s="25"/>
      <c r="J67" s="25"/>
      <c r="K67" s="25"/>
      <c r="L67" s="25"/>
      <c r="M67" s="25"/>
      <c r="N67" s="25"/>
      <c r="O67" s="25"/>
      <c r="P67" s="25"/>
      <c r="Q67" s="25"/>
    </row>
    <row r="68" spans="1:17" ht="16" x14ac:dyDescent="0.45">
      <c r="A68" s="25"/>
      <c r="B68" s="25"/>
      <c r="C68" s="25"/>
      <c r="D68" s="25"/>
      <c r="E68" s="25"/>
      <c r="F68" s="25"/>
      <c r="G68" s="25"/>
      <c r="H68" s="25"/>
      <c r="I68" s="25"/>
      <c r="J68" s="25"/>
      <c r="K68" s="25"/>
      <c r="L68" s="25"/>
      <c r="M68" s="25"/>
      <c r="N68" s="25"/>
      <c r="O68" s="25"/>
      <c r="P68" s="25"/>
      <c r="Q68" s="25"/>
    </row>
    <row r="69" spans="1:17" ht="16" x14ac:dyDescent="0.45">
      <c r="A69" s="25"/>
      <c r="B69" s="25"/>
      <c r="C69" s="25"/>
      <c r="D69" s="25"/>
      <c r="E69" s="25"/>
      <c r="F69" s="25"/>
      <c r="G69" s="25"/>
      <c r="H69" s="25"/>
      <c r="I69" s="25"/>
      <c r="J69" s="25"/>
      <c r="K69" s="25"/>
      <c r="L69" s="25"/>
      <c r="M69" s="25"/>
      <c r="N69" s="25"/>
      <c r="O69" s="25"/>
      <c r="P69" s="25"/>
      <c r="Q69" s="25"/>
    </row>
    <row r="70" spans="1:17" ht="16" x14ac:dyDescent="0.45">
      <c r="A70" s="25" t="s">
        <v>14</v>
      </c>
      <c r="B70" s="157" t="s">
        <v>536</v>
      </c>
      <c r="C70" s="158"/>
      <c r="D70" s="158"/>
      <c r="E70" s="158"/>
      <c r="F70" s="158"/>
      <c r="G70" s="158"/>
      <c r="H70" s="158"/>
      <c r="I70" s="158"/>
      <c r="J70" s="25"/>
      <c r="K70" s="25"/>
      <c r="L70" s="25"/>
      <c r="M70" s="25"/>
      <c r="N70" s="25"/>
      <c r="O70" s="25"/>
      <c r="P70" s="25"/>
      <c r="Q70" s="25"/>
    </row>
    <row r="71" spans="1:17" ht="16" x14ac:dyDescent="0.45">
      <c r="A71" s="25"/>
      <c r="B71" s="25"/>
      <c r="C71" s="25"/>
      <c r="D71" s="25"/>
      <c r="E71" s="25"/>
      <c r="F71" s="25"/>
      <c r="G71" s="25"/>
      <c r="H71" s="25"/>
      <c r="I71" s="25"/>
      <c r="J71" s="25"/>
      <c r="K71" s="25"/>
      <c r="L71" s="25"/>
      <c r="M71" s="25"/>
      <c r="N71" s="25"/>
      <c r="O71" s="25"/>
      <c r="P71" s="25"/>
      <c r="Q71" s="25"/>
    </row>
    <row r="72" spans="1:17" ht="16" x14ac:dyDescent="0.45">
      <c r="A72" s="25"/>
      <c r="B72" s="211" t="s">
        <v>521</v>
      </c>
      <c r="C72" s="25"/>
      <c r="D72" s="25"/>
      <c r="E72" s="25"/>
      <c r="F72" s="25"/>
      <c r="G72" s="25"/>
      <c r="H72" s="25"/>
      <c r="I72" s="25"/>
      <c r="J72" s="25"/>
      <c r="K72" s="25"/>
      <c r="L72" s="25"/>
      <c r="M72" s="25"/>
      <c r="N72" s="25"/>
      <c r="O72" s="25"/>
      <c r="P72" s="25"/>
      <c r="Q72" s="25"/>
    </row>
    <row r="73" spans="1:17" ht="16" x14ac:dyDescent="0.45">
      <c r="A73" s="25"/>
      <c r="B73" s="211" t="s">
        <v>522</v>
      </c>
      <c r="C73" s="25"/>
      <c r="D73" s="25"/>
      <c r="E73" s="25"/>
      <c r="F73" s="25"/>
      <c r="G73" s="25"/>
      <c r="H73" s="25"/>
      <c r="I73" s="25"/>
      <c r="J73" s="25"/>
      <c r="K73" s="25"/>
      <c r="L73" s="25"/>
      <c r="M73" s="25"/>
      <c r="N73" s="25"/>
      <c r="O73" s="25"/>
      <c r="P73" s="25"/>
      <c r="Q73" s="25"/>
    </row>
    <row r="74" spans="1:17" ht="16" x14ac:dyDescent="0.45">
      <c r="A74" s="25"/>
      <c r="B74" s="25"/>
      <c r="C74" s="25"/>
      <c r="D74" s="25"/>
      <c r="E74" s="25"/>
      <c r="F74" s="25"/>
      <c r="G74" s="25"/>
      <c r="H74" s="25"/>
      <c r="I74" s="25"/>
      <c r="J74" s="25"/>
      <c r="K74" s="25"/>
      <c r="L74" s="25"/>
      <c r="M74" s="25"/>
      <c r="N74" s="25"/>
      <c r="O74" s="25"/>
      <c r="P74" s="25"/>
      <c r="Q74" s="25"/>
    </row>
    <row r="75" spans="1:17" ht="16" x14ac:dyDescent="0.45">
      <c r="A75" s="25"/>
      <c r="B75" s="261" t="s">
        <v>523</v>
      </c>
      <c r="C75" s="25"/>
      <c r="D75" s="25"/>
      <c r="E75" s="25"/>
      <c r="F75" s="25"/>
      <c r="G75" s="25"/>
      <c r="H75" s="25"/>
      <c r="I75" s="25"/>
      <c r="J75" s="25"/>
      <c r="K75" s="25"/>
      <c r="L75" s="25"/>
      <c r="M75" s="25"/>
      <c r="N75" s="25"/>
      <c r="O75" s="25"/>
      <c r="P75" s="25"/>
      <c r="Q75" s="25"/>
    </row>
    <row r="76" spans="1:17" ht="16" x14ac:dyDescent="0.45">
      <c r="A76" s="25"/>
      <c r="B76" s="25"/>
      <c r="C76" s="25"/>
      <c r="D76" s="25"/>
      <c r="E76" s="25"/>
      <c r="F76" s="25"/>
      <c r="G76" s="25"/>
      <c r="H76" s="25"/>
      <c r="I76" s="25"/>
      <c r="J76" s="25"/>
      <c r="K76" s="25"/>
      <c r="L76" s="25"/>
      <c r="M76" s="25"/>
      <c r="N76" s="25"/>
      <c r="O76" s="25"/>
      <c r="P76" s="25"/>
      <c r="Q76" s="25"/>
    </row>
    <row r="77" spans="1:17" ht="16" x14ac:dyDescent="0.45">
      <c r="A77" s="25"/>
      <c r="B77" s="25"/>
      <c r="C77" s="25"/>
      <c r="D77" s="25"/>
      <c r="E77" s="25"/>
      <c r="F77" s="25"/>
      <c r="G77" s="25"/>
      <c r="H77" s="25"/>
      <c r="I77" s="25"/>
      <c r="J77" s="25"/>
      <c r="K77" s="25"/>
      <c r="L77" s="25"/>
      <c r="M77" s="25"/>
      <c r="N77" s="25"/>
      <c r="O77" s="25"/>
      <c r="P77" s="25"/>
      <c r="Q77" s="25"/>
    </row>
    <row r="78" spans="1:17" ht="16" x14ac:dyDescent="0.45">
      <c r="A78" s="25"/>
      <c r="B78" s="261" t="s">
        <v>524</v>
      </c>
      <c r="C78" s="262">
        <v>5.74</v>
      </c>
      <c r="D78" s="25"/>
      <c r="E78" s="25"/>
      <c r="F78" s="25"/>
      <c r="G78" s="25"/>
      <c r="H78" s="25"/>
      <c r="I78" s="25"/>
      <c r="J78" s="25"/>
      <c r="K78" s="25"/>
      <c r="L78" s="25"/>
      <c r="M78" s="25"/>
      <c r="N78" s="25"/>
      <c r="O78" s="25"/>
      <c r="P78" s="25"/>
      <c r="Q78" s="25"/>
    </row>
    <row r="79" spans="1:17" ht="16" x14ac:dyDescent="0.45">
      <c r="A79" s="25"/>
      <c r="B79" s="25"/>
      <c r="C79" s="25"/>
      <c r="D79" s="25"/>
      <c r="E79" s="25"/>
      <c r="F79" s="25"/>
      <c r="G79" s="25"/>
      <c r="H79" s="25"/>
      <c r="I79" s="25"/>
      <c r="J79" s="25"/>
      <c r="K79" s="25"/>
      <c r="L79" s="25"/>
      <c r="M79" s="25"/>
      <c r="N79" s="25"/>
      <c r="O79" s="25"/>
      <c r="P79" s="25"/>
      <c r="Q79" s="25"/>
    </row>
    <row r="80" spans="1:17" ht="16" x14ac:dyDescent="0.45">
      <c r="A80" s="25"/>
      <c r="B80" s="263"/>
      <c r="C80" s="25"/>
      <c r="D80" s="264" t="s">
        <v>525</v>
      </c>
      <c r="E80" s="264" t="s">
        <v>526</v>
      </c>
      <c r="F80" s="264" t="s">
        <v>527</v>
      </c>
      <c r="G80" s="264" t="s">
        <v>528</v>
      </c>
      <c r="H80" s="264" t="s">
        <v>529</v>
      </c>
      <c r="I80" s="25"/>
      <c r="J80" s="25"/>
      <c r="K80" s="25"/>
      <c r="L80" s="25"/>
      <c r="M80" s="25"/>
      <c r="N80" s="25"/>
      <c r="O80" s="25"/>
      <c r="P80" s="25"/>
      <c r="Q80" s="25"/>
    </row>
    <row r="81" spans="1:17" ht="16" x14ac:dyDescent="0.45">
      <c r="A81" s="25"/>
      <c r="B81" s="265" t="s">
        <v>530</v>
      </c>
      <c r="C81" s="25"/>
      <c r="D81" s="266">
        <v>-0.3</v>
      </c>
      <c r="E81" s="266">
        <v>-0.2</v>
      </c>
      <c r="F81" s="266">
        <v>0</v>
      </c>
      <c r="G81" s="266">
        <v>0.45</v>
      </c>
      <c r="H81" s="266">
        <v>0.75</v>
      </c>
      <c r="I81" s="25"/>
      <c r="J81" s="25"/>
      <c r="K81" s="25"/>
      <c r="L81" s="25"/>
      <c r="M81" s="25"/>
      <c r="N81" s="25"/>
      <c r="O81" s="25"/>
      <c r="P81" s="25"/>
      <c r="Q81" s="25"/>
    </row>
    <row r="82" spans="1:17" ht="16" x14ac:dyDescent="0.45">
      <c r="A82" s="25"/>
      <c r="B82" s="25"/>
      <c r="C82" s="25"/>
      <c r="D82" s="25"/>
      <c r="E82" s="25"/>
      <c r="F82" s="25"/>
      <c r="G82" s="25"/>
      <c r="H82" s="25"/>
      <c r="I82" s="25"/>
      <c r="J82" s="25"/>
      <c r="K82" s="25"/>
      <c r="L82" s="25"/>
      <c r="M82" s="25"/>
      <c r="N82" s="25"/>
      <c r="O82" s="25"/>
      <c r="P82" s="25"/>
      <c r="Q82" s="25"/>
    </row>
    <row r="83" spans="1:17" ht="16" x14ac:dyDescent="0.45">
      <c r="A83" s="25"/>
      <c r="B83" s="217" t="s">
        <v>531</v>
      </c>
      <c r="C83" s="267">
        <v>960</v>
      </c>
      <c r="D83" s="184">
        <f>$C83*($C$78+D$81)</f>
        <v>5222.4000000000005</v>
      </c>
      <c r="E83" s="184">
        <f t="shared" ref="E83:H87" si="8">$C83*($C$78+E$81)</f>
        <v>5318.4</v>
      </c>
      <c r="F83" s="184">
        <f t="shared" si="8"/>
        <v>5510.4000000000005</v>
      </c>
      <c r="G83" s="184">
        <f t="shared" si="8"/>
        <v>5942.4000000000005</v>
      </c>
      <c r="H83" s="184">
        <f t="shared" si="8"/>
        <v>6230.4000000000005</v>
      </c>
      <c r="I83" s="25"/>
      <c r="J83" s="25"/>
      <c r="K83" s="25"/>
      <c r="L83" s="25"/>
      <c r="M83" s="25"/>
      <c r="N83" s="25"/>
      <c r="O83" s="25"/>
      <c r="P83" s="25"/>
      <c r="Q83" s="25"/>
    </row>
    <row r="84" spans="1:17" ht="16" x14ac:dyDescent="0.45">
      <c r="A84" s="25"/>
      <c r="B84" s="217" t="s">
        <v>532</v>
      </c>
      <c r="C84" s="267">
        <v>925</v>
      </c>
      <c r="D84" s="184">
        <f>$C84*($C$78+D$81)</f>
        <v>5032</v>
      </c>
      <c r="E84" s="184">
        <f t="shared" si="8"/>
        <v>5124.5</v>
      </c>
      <c r="F84" s="184">
        <f t="shared" si="8"/>
        <v>5309.5</v>
      </c>
      <c r="G84" s="184">
        <f t="shared" si="8"/>
        <v>5725.75</v>
      </c>
      <c r="H84" s="184">
        <f t="shared" si="8"/>
        <v>6003.25</v>
      </c>
      <c r="I84" s="25"/>
      <c r="J84" s="25"/>
      <c r="K84" s="25"/>
      <c r="L84" s="25"/>
      <c r="M84" s="25"/>
      <c r="N84" s="25"/>
      <c r="O84" s="25"/>
      <c r="P84" s="25"/>
      <c r="Q84" s="25"/>
    </row>
    <row r="85" spans="1:17" ht="16" x14ac:dyDescent="0.45">
      <c r="A85" s="25"/>
      <c r="B85" s="217" t="s">
        <v>533</v>
      </c>
      <c r="C85" s="267">
        <v>862</v>
      </c>
      <c r="D85" s="184">
        <f t="shared" ref="D85:D87" si="9">$C85*($C$78+D$81)</f>
        <v>4689.2800000000007</v>
      </c>
      <c r="E85" s="184">
        <f t="shared" si="8"/>
        <v>4775.4800000000005</v>
      </c>
      <c r="F85" s="184">
        <f t="shared" si="8"/>
        <v>4947.88</v>
      </c>
      <c r="G85" s="184">
        <f t="shared" si="8"/>
        <v>5335.7800000000007</v>
      </c>
      <c r="H85" s="184">
        <f t="shared" si="8"/>
        <v>5594.38</v>
      </c>
      <c r="I85" s="25"/>
      <c r="J85" s="25"/>
      <c r="K85" s="25"/>
      <c r="L85" s="25"/>
      <c r="M85" s="25"/>
      <c r="N85" s="25"/>
      <c r="O85" s="25"/>
      <c r="P85" s="25"/>
      <c r="Q85" s="25"/>
    </row>
    <row r="86" spans="1:17" ht="16" x14ac:dyDescent="0.45">
      <c r="A86" s="25"/>
      <c r="B86" s="217" t="s">
        <v>534</v>
      </c>
      <c r="C86" s="267">
        <v>790</v>
      </c>
      <c r="D86" s="184">
        <f t="shared" si="9"/>
        <v>4297.6000000000004</v>
      </c>
      <c r="E86" s="184">
        <f t="shared" si="8"/>
        <v>4376.6000000000004</v>
      </c>
      <c r="F86" s="184">
        <f t="shared" si="8"/>
        <v>4534.6000000000004</v>
      </c>
      <c r="G86" s="184">
        <f t="shared" si="8"/>
        <v>4890.1000000000004</v>
      </c>
      <c r="H86" s="184">
        <f t="shared" si="8"/>
        <v>5127.1000000000004</v>
      </c>
      <c r="I86" s="25"/>
      <c r="J86" s="25"/>
      <c r="K86" s="25"/>
      <c r="L86" s="25"/>
      <c r="M86" s="25"/>
      <c r="N86" s="25"/>
      <c r="O86" s="25"/>
      <c r="P86" s="25"/>
      <c r="Q86" s="25"/>
    </row>
    <row r="87" spans="1:17" ht="16" x14ac:dyDescent="0.45">
      <c r="A87" s="25"/>
      <c r="B87" s="217" t="s">
        <v>535</v>
      </c>
      <c r="C87" s="267">
        <v>590</v>
      </c>
      <c r="D87" s="184">
        <f t="shared" si="9"/>
        <v>3209.6000000000004</v>
      </c>
      <c r="E87" s="184">
        <f t="shared" si="8"/>
        <v>3268.6</v>
      </c>
      <c r="F87" s="184">
        <f t="shared" si="8"/>
        <v>3386.6</v>
      </c>
      <c r="G87" s="184">
        <f t="shared" si="8"/>
        <v>3652.1000000000004</v>
      </c>
      <c r="H87" s="184">
        <f t="shared" si="8"/>
        <v>3829.1</v>
      </c>
      <c r="I87" s="25"/>
      <c r="J87" s="25"/>
      <c r="K87" s="25"/>
      <c r="L87" s="25"/>
      <c r="M87" s="25"/>
      <c r="N87" s="25"/>
      <c r="O87" s="25"/>
      <c r="P87" s="25"/>
      <c r="Q87" s="25"/>
    </row>
    <row r="88" spans="1:17" ht="16" x14ac:dyDescent="0.45">
      <c r="A88" s="25"/>
      <c r="B88" s="25"/>
      <c r="C88" s="25"/>
      <c r="D88" s="25"/>
      <c r="E88" s="25"/>
      <c r="F88" s="25"/>
      <c r="G88" s="25"/>
      <c r="H88" s="25"/>
      <c r="I88" s="25"/>
      <c r="J88" s="25"/>
      <c r="K88" s="25"/>
      <c r="L88" s="25"/>
      <c r="M88" s="25"/>
      <c r="N88" s="25"/>
      <c r="O88" s="25"/>
      <c r="P88" s="25"/>
      <c r="Q88" s="25"/>
    </row>
    <row r="89" spans="1:17" ht="16" x14ac:dyDescent="0.45">
      <c r="A89" s="25"/>
      <c r="B89" s="25"/>
      <c r="C89" s="25"/>
      <c r="D89" s="25"/>
      <c r="E89" s="25"/>
      <c r="F89" s="25"/>
      <c r="G89" s="25"/>
      <c r="H89" s="25"/>
      <c r="I89" s="25"/>
      <c r="J89" s="25"/>
      <c r="K89" s="25"/>
      <c r="L89" s="25"/>
      <c r="M89" s="25"/>
      <c r="N89" s="25"/>
      <c r="O89" s="25"/>
      <c r="P89" s="25"/>
      <c r="Q89" s="25"/>
    </row>
    <row r="90" spans="1:17" ht="16" x14ac:dyDescent="0.45">
      <c r="A90" s="25"/>
      <c r="B90" s="25"/>
      <c r="C90" s="25"/>
      <c r="D90" s="25"/>
      <c r="E90" s="25"/>
      <c r="F90" s="25"/>
      <c r="G90" s="25"/>
      <c r="H90" s="25"/>
      <c r="I90" s="25"/>
      <c r="J90" s="25"/>
      <c r="K90" s="25"/>
      <c r="L90" s="25"/>
      <c r="M90" s="25"/>
      <c r="N90" s="25"/>
      <c r="O90" s="25"/>
      <c r="P90" s="25"/>
      <c r="Q90" s="25"/>
    </row>
    <row r="91" spans="1:17" ht="16" x14ac:dyDescent="0.45">
      <c r="A91" s="25" t="s">
        <v>14</v>
      </c>
      <c r="B91" s="157" t="s">
        <v>220</v>
      </c>
      <c r="C91" s="158"/>
      <c r="D91" s="158"/>
      <c r="E91" s="158"/>
      <c r="F91" s="158"/>
      <c r="G91" s="158"/>
      <c r="H91" s="158"/>
      <c r="I91" s="158"/>
      <c r="J91" s="25"/>
      <c r="K91" s="25"/>
      <c r="L91" s="25"/>
      <c r="M91" s="25"/>
      <c r="N91" s="25"/>
      <c r="O91" s="25"/>
      <c r="P91" s="25"/>
      <c r="Q91" s="25"/>
    </row>
    <row r="92" spans="1:17" ht="16" x14ac:dyDescent="0.45">
      <c r="A92" s="25"/>
      <c r="B92" s="25"/>
      <c r="C92" s="25"/>
      <c r="D92" s="25"/>
      <c r="E92" s="25"/>
      <c r="F92" s="25"/>
      <c r="G92" s="25"/>
      <c r="H92" s="25"/>
      <c r="I92" s="25"/>
      <c r="J92" s="25"/>
      <c r="K92" s="25"/>
      <c r="L92" s="25"/>
      <c r="M92" s="25"/>
      <c r="N92" s="25"/>
      <c r="O92" s="25"/>
      <c r="P92" s="25"/>
      <c r="Q92" s="25"/>
    </row>
    <row r="93" spans="1:17" ht="16" x14ac:dyDescent="0.45">
      <c r="A93" s="25"/>
      <c r="B93" s="25" t="str">
        <f>"Name cell "&amp;ADDRESS(ROW(C98),COLUMN(C98),4)&amp;" Rate"</f>
        <v>Name cell C98 Rate</v>
      </c>
      <c r="C93" s="25"/>
      <c r="D93" s="25"/>
      <c r="E93" s="25"/>
      <c r="F93" s="25">
        <f>C.Rate</f>
        <v>0.15</v>
      </c>
      <c r="G93" s="25"/>
      <c r="H93" s="25"/>
      <c r="I93" s="25"/>
      <c r="J93" s="25"/>
      <c r="K93" s="25"/>
      <c r="L93" s="25"/>
      <c r="M93" s="25"/>
      <c r="N93" s="25"/>
      <c r="O93" s="25"/>
      <c r="P93" s="25"/>
      <c r="Q93" s="25"/>
    </row>
    <row r="94" spans="1:17" ht="16" x14ac:dyDescent="0.45">
      <c r="B94" s="25" t="str">
        <f>"Name range "&amp;ADDRESS(ROW(C101),COLUMN(C101),4)&amp;":"&amp;ADDRESS(ROW(C110),COLUMN(C110),4)&amp;" Quantity"</f>
        <v>Name range C101:C110 Quantity</v>
      </c>
      <c r="C94" s="25"/>
      <c r="D94" s="25"/>
      <c r="E94" s="25"/>
      <c r="F94" s="25"/>
      <c r="G94" s="25"/>
      <c r="H94" s="25"/>
    </row>
    <row r="95" spans="1:17" ht="16" x14ac:dyDescent="0.45">
      <c r="B95" s="25" t="str">
        <f>"Name range "&amp;ADDRESS(ROW(D101),COLUMN(D101),4)&amp;":"&amp;ADDRESS(ROW(D110),COLUMN(D110),4)&amp;" Selling Price"</f>
        <v>Name range D101:D110 Selling Price</v>
      </c>
      <c r="C95" s="25"/>
      <c r="D95" s="25"/>
      <c r="E95" s="25"/>
      <c r="F95" s="25"/>
      <c r="G95" s="25"/>
      <c r="H95" s="25"/>
    </row>
    <row r="96" spans="1:17" ht="16" x14ac:dyDescent="0.45">
      <c r="B96" s="25" t="str">
        <f>"Name range "&amp;ADDRESS(ROW(E101),COLUMN(E101),4)&amp;":"&amp;ADDRESS(ROW(E110),COLUMN(E110),4)&amp;" Commission"</f>
        <v>Name range E101:E110 Commission</v>
      </c>
      <c r="C96" s="25"/>
      <c r="D96" s="25"/>
      <c r="E96" s="25"/>
      <c r="F96" s="25"/>
      <c r="G96" s="25"/>
      <c r="H96" s="25"/>
    </row>
    <row r="97" spans="2:8" ht="16" x14ac:dyDescent="0.45">
      <c r="B97" s="25"/>
      <c r="C97" s="25"/>
      <c r="D97" s="25"/>
      <c r="E97" s="25"/>
      <c r="F97" s="25"/>
      <c r="G97" s="25"/>
      <c r="H97" s="25"/>
    </row>
    <row r="98" spans="2:8" ht="16" x14ac:dyDescent="0.45">
      <c r="B98" s="245" t="s">
        <v>501</v>
      </c>
      <c r="C98" s="246">
        <v>0.15</v>
      </c>
      <c r="D98" s="25"/>
      <c r="E98" s="25"/>
      <c r="F98" s="25"/>
      <c r="G98" s="25"/>
      <c r="H98" s="25"/>
    </row>
    <row r="99" spans="2:8" ht="16" x14ac:dyDescent="0.45">
      <c r="B99" s="247"/>
      <c r="C99" s="25"/>
      <c r="D99" s="25"/>
      <c r="E99" s="25"/>
      <c r="F99" s="25"/>
      <c r="G99" s="25"/>
      <c r="H99" s="25"/>
    </row>
    <row r="100" spans="2:8" ht="16" x14ac:dyDescent="0.45">
      <c r="B100" s="248" t="s">
        <v>223</v>
      </c>
      <c r="C100" s="249" t="s">
        <v>221</v>
      </c>
      <c r="D100" s="249" t="s">
        <v>224</v>
      </c>
      <c r="E100" s="249" t="s">
        <v>226</v>
      </c>
      <c r="F100" s="25"/>
      <c r="G100" s="211" t="s">
        <v>502</v>
      </c>
      <c r="H100" s="184"/>
    </row>
    <row r="101" spans="2:8" ht="16" x14ac:dyDescent="0.45">
      <c r="B101" s="250" t="s">
        <v>23</v>
      </c>
      <c r="C101" s="251">
        <v>5000</v>
      </c>
      <c r="D101" s="251">
        <v>18</v>
      </c>
      <c r="E101" s="184">
        <f t="shared" ref="E101:E110" si="10">C101*D101*C.Rate</f>
        <v>13500</v>
      </c>
      <c r="F101" s="25"/>
      <c r="G101" s="211" t="s">
        <v>503</v>
      </c>
      <c r="H101" s="184" t="e" cm="1">
        <f t="array" ref="H101">aver</f>
        <v>#NAME?</v>
      </c>
    </row>
    <row r="102" spans="2:8" ht="16" x14ac:dyDescent="0.45">
      <c r="B102" s="250" t="s">
        <v>24</v>
      </c>
      <c r="C102" s="251">
        <v>7500</v>
      </c>
      <c r="D102" s="251">
        <v>24</v>
      </c>
      <c r="E102" s="184">
        <f t="shared" si="10"/>
        <v>27000</v>
      </c>
      <c r="F102" s="25"/>
      <c r="G102" s="211" t="s">
        <v>504</v>
      </c>
      <c r="H102" s="184">
        <f>SUM(Commission)</f>
        <v>144825</v>
      </c>
    </row>
    <row r="103" spans="2:8" ht="16" x14ac:dyDescent="0.45">
      <c r="B103" s="250" t="s">
        <v>227</v>
      </c>
      <c r="C103" s="251">
        <v>3250</v>
      </c>
      <c r="D103" s="251">
        <v>12</v>
      </c>
      <c r="E103" s="184">
        <f t="shared" si="10"/>
        <v>5850</v>
      </c>
      <c r="F103" s="25"/>
      <c r="G103" s="25"/>
      <c r="H103" s="25"/>
    </row>
    <row r="104" spans="2:8" ht="16" x14ac:dyDescent="0.45">
      <c r="B104" s="250" t="s">
        <v>28</v>
      </c>
      <c r="C104" s="251">
        <v>3750</v>
      </c>
      <c r="D104" s="251">
        <v>27</v>
      </c>
      <c r="E104" s="184">
        <f t="shared" si="10"/>
        <v>15187.5</v>
      </c>
      <c r="F104" s="25"/>
      <c r="G104" s="25"/>
      <c r="H104" s="25"/>
    </row>
    <row r="105" spans="2:8" ht="16" x14ac:dyDescent="0.45">
      <c r="B105" s="250" t="s">
        <v>29</v>
      </c>
      <c r="C105" s="251">
        <v>5750</v>
      </c>
      <c r="D105" s="251">
        <v>19</v>
      </c>
      <c r="E105" s="184">
        <f t="shared" si="10"/>
        <v>16387.5</v>
      </c>
      <c r="F105" s="25"/>
      <c r="G105" s="25"/>
      <c r="H105" s="25"/>
    </row>
    <row r="106" spans="2:8" ht="16" x14ac:dyDescent="0.45">
      <c r="B106" s="250" t="s">
        <v>30</v>
      </c>
      <c r="C106" s="251">
        <v>4000</v>
      </c>
      <c r="D106" s="251">
        <v>13</v>
      </c>
      <c r="E106" s="184">
        <f t="shared" si="10"/>
        <v>7800</v>
      </c>
      <c r="F106" s="25"/>
      <c r="G106" s="25"/>
      <c r="H106" s="25"/>
    </row>
    <row r="107" spans="2:8" ht="16" x14ac:dyDescent="0.45">
      <c r="B107" s="250" t="s">
        <v>31</v>
      </c>
      <c r="C107" s="251">
        <v>3750</v>
      </c>
      <c r="D107" s="251">
        <v>13</v>
      </c>
      <c r="E107" s="184">
        <f t="shared" si="10"/>
        <v>7312.5</v>
      </c>
      <c r="F107" s="25"/>
      <c r="G107" s="25"/>
      <c r="H107" s="25"/>
    </row>
    <row r="108" spans="2:8" ht="16" x14ac:dyDescent="0.45">
      <c r="B108" s="250" t="s">
        <v>32</v>
      </c>
      <c r="C108" s="251">
        <v>6750</v>
      </c>
      <c r="D108" s="251">
        <v>28</v>
      </c>
      <c r="E108" s="184">
        <f t="shared" si="10"/>
        <v>28350</v>
      </c>
      <c r="F108" s="25"/>
      <c r="G108" s="25"/>
      <c r="H108" s="25"/>
    </row>
    <row r="109" spans="2:8" ht="16" x14ac:dyDescent="0.45">
      <c r="B109" s="250" t="s">
        <v>33</v>
      </c>
      <c r="C109" s="251">
        <v>2750</v>
      </c>
      <c r="D109" s="251">
        <v>11</v>
      </c>
      <c r="E109" s="184">
        <f t="shared" si="10"/>
        <v>4537.5</v>
      </c>
      <c r="F109" s="25"/>
      <c r="G109" s="25"/>
      <c r="H109" s="25"/>
    </row>
    <row r="110" spans="2:8" ht="16" x14ac:dyDescent="0.45">
      <c r="B110" s="250" t="s">
        <v>34</v>
      </c>
      <c r="C110" s="251">
        <v>6000</v>
      </c>
      <c r="D110" s="251">
        <v>21</v>
      </c>
      <c r="E110" s="184">
        <f t="shared" si="10"/>
        <v>18900</v>
      </c>
      <c r="F110" s="25"/>
      <c r="G110" s="25" cm="1">
        <f t="array" ref="G110:G119">Commission</f>
        <v>13500</v>
      </c>
      <c r="H110" s="25"/>
    </row>
    <row r="111" spans="2:8" ht="16" x14ac:dyDescent="0.45">
      <c r="G111" s="141">
        <v>27000</v>
      </c>
    </row>
    <row r="112" spans="2:8" ht="19.5" customHeight="1" x14ac:dyDescent="0.45">
      <c r="G112" s="141">
        <v>5850</v>
      </c>
    </row>
    <row r="113" spans="7:7" ht="19.5" customHeight="1" x14ac:dyDescent="0.45">
      <c r="G113" s="141">
        <v>15187.5</v>
      </c>
    </row>
    <row r="114" spans="7:7" ht="19.5" customHeight="1" x14ac:dyDescent="0.45">
      <c r="G114" s="141">
        <v>16387.5</v>
      </c>
    </row>
    <row r="115" spans="7:7" ht="19.5" customHeight="1" x14ac:dyDescent="0.45">
      <c r="G115" s="141">
        <v>7800</v>
      </c>
    </row>
    <row r="116" spans="7:7" ht="19.5" customHeight="1" x14ac:dyDescent="0.45">
      <c r="G116" s="141">
        <v>7312.5</v>
      </c>
    </row>
    <row r="117" spans="7:7" ht="19.5" customHeight="1" x14ac:dyDescent="0.45">
      <c r="G117" s="141">
        <v>28350</v>
      </c>
    </row>
    <row r="118" spans="7:7" ht="19.5" customHeight="1" x14ac:dyDescent="0.45">
      <c r="G118" s="141">
        <v>4537.5</v>
      </c>
    </row>
    <row r="119" spans="7:7" ht="19.5" customHeight="1" x14ac:dyDescent="0.45">
      <c r="G119" s="141">
        <v>18900</v>
      </c>
    </row>
  </sheetData>
  <phoneticPr fontId="15"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C0CED-D695-44D8-9831-B27CCFB57771}">
  <sheetPr codeName="Sheet11"/>
  <dimension ref="A2:Q20"/>
  <sheetViews>
    <sheetView showGridLines="0" topLeftCell="A11" workbookViewId="0">
      <selection activeCell="B2" sqref="B2"/>
    </sheetView>
  </sheetViews>
  <sheetFormatPr defaultRowHeight="14.5" x14ac:dyDescent="0.35"/>
  <cols>
    <col min="1" max="1" width="2.7265625" customWidth="1"/>
    <col min="2" max="2" width="22" customWidth="1"/>
    <col min="3" max="3" width="16.26953125" customWidth="1"/>
    <col min="4" max="8" width="16.54296875" customWidth="1"/>
  </cols>
  <sheetData>
    <row r="2" spans="1:17" ht="16" x14ac:dyDescent="0.45">
      <c r="B2" s="258"/>
      <c r="C2" s="126"/>
      <c r="D2" s="126"/>
      <c r="E2" s="126"/>
      <c r="F2" s="126"/>
      <c r="G2" s="126"/>
      <c r="H2" s="126"/>
      <c r="I2" s="126"/>
      <c r="J2" s="126"/>
      <c r="K2" s="126"/>
      <c r="L2" s="126"/>
      <c r="M2" s="126"/>
      <c r="N2" s="126"/>
      <c r="O2" s="126"/>
      <c r="P2" s="126"/>
      <c r="Q2" s="126"/>
    </row>
    <row r="3" spans="1:17" ht="16.5" x14ac:dyDescent="0.45">
      <c r="B3" s="259" t="s">
        <v>326</v>
      </c>
      <c r="C3" s="126"/>
      <c r="D3" s="126"/>
      <c r="E3" s="126"/>
      <c r="F3" s="126"/>
      <c r="G3" s="126"/>
      <c r="H3" s="126"/>
      <c r="I3" s="126"/>
      <c r="J3" s="126"/>
      <c r="K3" s="126"/>
      <c r="L3" s="126"/>
      <c r="M3" s="126"/>
      <c r="N3" s="126"/>
      <c r="O3" s="126"/>
      <c r="P3" s="126"/>
      <c r="Q3" s="126"/>
    </row>
    <row r="4" spans="1:17" ht="16" x14ac:dyDescent="0.45">
      <c r="B4" s="128" t="s">
        <v>364</v>
      </c>
      <c r="C4" s="126"/>
      <c r="D4" s="126"/>
      <c r="E4" s="126"/>
      <c r="F4" s="126"/>
      <c r="G4" s="126"/>
      <c r="H4" s="126"/>
      <c r="I4" s="126"/>
      <c r="J4" s="126"/>
      <c r="K4" s="126"/>
      <c r="L4" s="126"/>
      <c r="M4" s="126"/>
      <c r="N4" s="126"/>
      <c r="O4" s="126"/>
      <c r="P4" s="126"/>
      <c r="Q4" s="126"/>
    </row>
    <row r="9" spans="1:17" ht="17.5" x14ac:dyDescent="0.45">
      <c r="A9" s="252"/>
      <c r="B9" s="254" t="s">
        <v>507</v>
      </c>
      <c r="C9" s="253"/>
    </row>
    <row r="10" spans="1:17" ht="17.5" x14ac:dyDescent="0.45">
      <c r="A10" s="252"/>
      <c r="B10" s="252"/>
      <c r="C10" s="252"/>
    </row>
    <row r="11" spans="1:17" ht="17.5" x14ac:dyDescent="0.45">
      <c r="A11" s="252"/>
      <c r="B11" s="252"/>
      <c r="C11" s="252"/>
    </row>
    <row r="12" spans="1:17" ht="17.5" x14ac:dyDescent="0.45">
      <c r="A12" s="252"/>
      <c r="B12" s="332" t="s">
        <v>506</v>
      </c>
      <c r="C12" s="333" t="s">
        <v>505</v>
      </c>
    </row>
    <row r="13" spans="1:17" ht="17.5" x14ac:dyDescent="0.45">
      <c r="A13" s="252"/>
      <c r="B13" s="252"/>
      <c r="C13" s="252"/>
    </row>
    <row r="14" spans="1:17" ht="17.5" x14ac:dyDescent="0.45">
      <c r="A14" s="252"/>
      <c r="B14" s="334" t="s">
        <v>237</v>
      </c>
      <c r="C14" s="336">
        <v>800</v>
      </c>
    </row>
    <row r="15" spans="1:17" ht="17.5" x14ac:dyDescent="0.45">
      <c r="A15" s="252"/>
      <c r="B15" s="334" t="s">
        <v>238</v>
      </c>
      <c r="C15" s="336">
        <v>200</v>
      </c>
    </row>
    <row r="16" spans="1:17" ht="17.5" x14ac:dyDescent="0.45">
      <c r="A16" s="252"/>
      <c r="B16" s="334" t="s">
        <v>239</v>
      </c>
      <c r="C16" s="336">
        <v>400</v>
      </c>
    </row>
    <row r="17" spans="1:3" ht="17.5" x14ac:dyDescent="0.45">
      <c r="A17" s="252"/>
      <c r="B17" s="334" t="s">
        <v>240</v>
      </c>
      <c r="C17" s="336">
        <v>600</v>
      </c>
    </row>
    <row r="18" spans="1:3" ht="17.5" x14ac:dyDescent="0.45">
      <c r="A18" s="252"/>
      <c r="B18" s="334" t="s">
        <v>241</v>
      </c>
      <c r="C18" s="336">
        <v>600</v>
      </c>
    </row>
    <row r="19" spans="1:3" ht="17.5" x14ac:dyDescent="0.45">
      <c r="A19" s="252"/>
      <c r="B19" s="334" t="s">
        <v>242</v>
      </c>
      <c r="C19" s="336">
        <v>900</v>
      </c>
    </row>
    <row r="20" spans="1:3" ht="17.5" x14ac:dyDescent="0.45">
      <c r="A20" s="252"/>
      <c r="B20" s="334" t="s">
        <v>243</v>
      </c>
      <c r="C20" s="336">
        <v>500</v>
      </c>
    </row>
  </sheetData>
  <pageMargins left="0.70866141732283472" right="0.70866141732283472" top="0.74803149606299213" bottom="0.74803149606299213" header="0.31496062992125984" footer="0.31496062992125984"/>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616A1-6CC0-490A-A00C-559F3A336E68}">
  <sheetPr codeName="Sheet12"/>
  <dimension ref="B2:Q20"/>
  <sheetViews>
    <sheetView showGridLines="0" workbookViewId="0">
      <selection activeCell="B2" sqref="B2"/>
    </sheetView>
  </sheetViews>
  <sheetFormatPr defaultRowHeight="14.5" x14ac:dyDescent="0.35"/>
  <cols>
    <col min="1" max="1" width="2.7265625" customWidth="1"/>
    <col min="2" max="2" width="22" customWidth="1"/>
    <col min="3" max="3" width="16.26953125" customWidth="1"/>
    <col min="4" max="8" width="16.54296875" customWidth="1"/>
  </cols>
  <sheetData>
    <row r="2" spans="2:17" x14ac:dyDescent="0.35">
      <c r="B2" s="258"/>
      <c r="C2" s="258"/>
      <c r="D2" s="258"/>
      <c r="E2" s="258"/>
      <c r="F2" s="258"/>
      <c r="G2" s="258"/>
      <c r="H2" s="258"/>
      <c r="I2" s="258"/>
      <c r="J2" s="258"/>
      <c r="K2" s="258"/>
      <c r="L2" s="258"/>
      <c r="M2" s="258"/>
      <c r="N2" s="258"/>
      <c r="O2" s="258"/>
      <c r="P2" s="258"/>
      <c r="Q2" s="258"/>
    </row>
    <row r="3" spans="2:17" ht="15.5" x14ac:dyDescent="0.35">
      <c r="B3" s="259" t="s">
        <v>326</v>
      </c>
      <c r="C3" s="260"/>
      <c r="D3" s="258"/>
      <c r="E3" s="258"/>
      <c r="F3" s="258"/>
      <c r="G3" s="258"/>
      <c r="H3" s="258"/>
      <c r="I3" s="258"/>
      <c r="J3" s="258"/>
      <c r="K3" s="258"/>
      <c r="L3" s="258"/>
      <c r="M3" s="258"/>
      <c r="N3" s="258"/>
      <c r="O3" s="258"/>
      <c r="P3" s="258"/>
      <c r="Q3" s="258"/>
    </row>
    <row r="4" spans="2:17" ht="16" x14ac:dyDescent="0.45">
      <c r="B4" s="128" t="s">
        <v>364</v>
      </c>
      <c r="C4" s="126"/>
      <c r="D4" s="126"/>
      <c r="E4" s="258"/>
      <c r="F4" s="258"/>
      <c r="G4" s="258"/>
      <c r="H4" s="258"/>
      <c r="I4" s="258"/>
      <c r="J4" s="258"/>
      <c r="K4" s="258"/>
      <c r="L4" s="258"/>
      <c r="M4" s="258"/>
      <c r="N4" s="258"/>
      <c r="O4" s="258"/>
      <c r="P4" s="258"/>
      <c r="Q4" s="258"/>
    </row>
    <row r="9" spans="2:17" ht="17.5" x14ac:dyDescent="0.45">
      <c r="B9" s="254" t="s">
        <v>508</v>
      </c>
      <c r="C9" s="253"/>
    </row>
    <row r="10" spans="2:17" ht="17.5" x14ac:dyDescent="0.45">
      <c r="B10" s="252"/>
      <c r="C10" s="252"/>
    </row>
    <row r="11" spans="2:17" ht="17.5" x14ac:dyDescent="0.45">
      <c r="B11" s="252"/>
      <c r="C11" s="252"/>
    </row>
    <row r="12" spans="2:17" ht="17.5" x14ac:dyDescent="0.45">
      <c r="B12" s="332" t="s">
        <v>506</v>
      </c>
      <c r="C12" s="333" t="s">
        <v>505</v>
      </c>
    </row>
    <row r="13" spans="2:17" ht="17.5" x14ac:dyDescent="0.45">
      <c r="B13" s="252"/>
      <c r="C13" s="252"/>
    </row>
    <row r="14" spans="2:17" ht="17.5" x14ac:dyDescent="0.45">
      <c r="B14" s="334" t="s">
        <v>237</v>
      </c>
      <c r="C14" s="336">
        <v>375</v>
      </c>
    </row>
    <row r="15" spans="2:17" ht="17.5" x14ac:dyDescent="0.45">
      <c r="B15" s="334" t="s">
        <v>238</v>
      </c>
      <c r="C15" s="336">
        <v>1030</v>
      </c>
    </row>
    <row r="16" spans="2:17" ht="17.5" x14ac:dyDescent="0.45">
      <c r="B16" s="334" t="s">
        <v>239</v>
      </c>
      <c r="C16" s="336">
        <v>665</v>
      </c>
    </row>
    <row r="17" spans="2:3" ht="17.5" x14ac:dyDescent="0.45">
      <c r="B17" s="334" t="s">
        <v>240</v>
      </c>
      <c r="C17" s="336">
        <v>730</v>
      </c>
    </row>
    <row r="18" spans="2:3" ht="17.5" x14ac:dyDescent="0.45">
      <c r="B18" s="334" t="s">
        <v>241</v>
      </c>
      <c r="C18" s="336">
        <v>925</v>
      </c>
    </row>
    <row r="19" spans="2:3" ht="17.5" x14ac:dyDescent="0.45">
      <c r="B19" s="334" t="s">
        <v>242</v>
      </c>
      <c r="C19" s="336">
        <v>850</v>
      </c>
    </row>
    <row r="20" spans="2:3" ht="17.5" x14ac:dyDescent="0.45">
      <c r="B20" s="334" t="s">
        <v>243</v>
      </c>
      <c r="C20" s="336">
        <v>1040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FECF3-D3FF-4FD4-86DC-1F54E4B81667}">
  <sheetPr codeName="Sheet13"/>
  <dimension ref="B2:Q20"/>
  <sheetViews>
    <sheetView showGridLines="0" topLeftCell="A4" workbookViewId="0">
      <selection activeCell="C14" sqref="C14"/>
    </sheetView>
  </sheetViews>
  <sheetFormatPr defaultRowHeight="14.5" x14ac:dyDescent="0.35"/>
  <cols>
    <col min="1" max="1" width="2.7265625" customWidth="1"/>
    <col min="2" max="2" width="22" customWidth="1"/>
    <col min="3" max="3" width="16.26953125" customWidth="1"/>
    <col min="4" max="8" width="16.54296875" customWidth="1"/>
  </cols>
  <sheetData>
    <row r="2" spans="2:17" x14ac:dyDescent="0.35">
      <c r="B2" s="258"/>
      <c r="C2" s="258"/>
      <c r="D2" s="258"/>
      <c r="E2" s="258"/>
      <c r="F2" s="258"/>
      <c r="G2" s="258"/>
      <c r="H2" s="258"/>
      <c r="I2" s="258"/>
      <c r="J2" s="258"/>
      <c r="K2" s="258"/>
      <c r="L2" s="258"/>
      <c r="M2" s="258"/>
      <c r="N2" s="258"/>
      <c r="O2" s="258"/>
      <c r="P2" s="258"/>
      <c r="Q2" s="258"/>
    </row>
    <row r="3" spans="2:17" ht="15.5" x14ac:dyDescent="0.35">
      <c r="B3" s="259" t="s">
        <v>326</v>
      </c>
      <c r="C3" s="260"/>
      <c r="D3" s="258"/>
      <c r="E3" s="258"/>
      <c r="F3" s="258"/>
      <c r="G3" s="258"/>
      <c r="H3" s="258"/>
      <c r="I3" s="258"/>
      <c r="J3" s="258"/>
      <c r="K3" s="258"/>
      <c r="L3" s="258"/>
      <c r="M3" s="258"/>
      <c r="N3" s="258"/>
      <c r="O3" s="258"/>
      <c r="P3" s="258"/>
      <c r="Q3" s="258"/>
    </row>
    <row r="4" spans="2:17" ht="16" x14ac:dyDescent="0.45">
      <c r="B4" s="128" t="s">
        <v>364</v>
      </c>
      <c r="C4" s="126"/>
      <c r="D4" s="126"/>
      <c r="E4" s="258"/>
      <c r="F4" s="258"/>
      <c r="G4" s="258"/>
      <c r="H4" s="258"/>
      <c r="I4" s="258"/>
      <c r="J4" s="258"/>
      <c r="K4" s="258"/>
      <c r="L4" s="258"/>
      <c r="M4" s="258"/>
      <c r="N4" s="258"/>
      <c r="O4" s="258"/>
      <c r="P4" s="258"/>
      <c r="Q4" s="258"/>
    </row>
    <row r="9" spans="2:17" ht="17.5" x14ac:dyDescent="0.45">
      <c r="B9" s="254" t="s">
        <v>509</v>
      </c>
      <c r="C9" s="253"/>
    </row>
    <row r="10" spans="2:17" ht="17.5" x14ac:dyDescent="0.45">
      <c r="B10" s="252"/>
      <c r="C10" s="252"/>
    </row>
    <row r="11" spans="2:17" ht="17.5" x14ac:dyDescent="0.45">
      <c r="B11" s="252"/>
      <c r="C11" s="252"/>
    </row>
    <row r="12" spans="2:17" ht="17.5" x14ac:dyDescent="0.45">
      <c r="B12" s="332" t="s">
        <v>506</v>
      </c>
      <c r="C12" s="333" t="s">
        <v>505</v>
      </c>
    </row>
    <row r="13" spans="2:17" ht="17.5" x14ac:dyDescent="0.45">
      <c r="B13" s="252"/>
      <c r="C13" s="252"/>
    </row>
    <row r="14" spans="2:17" ht="17.5" x14ac:dyDescent="0.45">
      <c r="B14" s="334" t="s">
        <v>237</v>
      </c>
      <c r="C14" s="336">
        <v>700</v>
      </c>
    </row>
    <row r="15" spans="2:17" ht="17.5" x14ac:dyDescent="0.45">
      <c r="B15" s="334" t="s">
        <v>238</v>
      </c>
      <c r="C15" s="336">
        <v>850</v>
      </c>
    </row>
    <row r="16" spans="2:17" ht="17.5" x14ac:dyDescent="0.45">
      <c r="B16" s="334" t="s">
        <v>239</v>
      </c>
      <c r="C16" s="336">
        <v>710</v>
      </c>
    </row>
    <row r="17" spans="2:3" ht="17.5" x14ac:dyDescent="0.45">
      <c r="B17" s="334" t="s">
        <v>240</v>
      </c>
      <c r="C17" s="336">
        <v>350</v>
      </c>
    </row>
    <row r="18" spans="2:3" ht="17.5" x14ac:dyDescent="0.45">
      <c r="B18" s="334" t="s">
        <v>241</v>
      </c>
      <c r="C18" s="336">
        <v>730</v>
      </c>
    </row>
    <row r="19" spans="2:3" ht="17.5" x14ac:dyDescent="0.45">
      <c r="B19" s="334" t="s">
        <v>242</v>
      </c>
      <c r="C19" s="336">
        <v>1040</v>
      </c>
    </row>
    <row r="20" spans="2:3" ht="17.5" x14ac:dyDescent="0.45">
      <c r="B20" s="334" t="s">
        <v>243</v>
      </c>
      <c r="C20" s="336">
        <v>700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80E6-AC9D-4255-8EB1-CD12A1C7CAB1}">
  <sheetPr codeName="Sheet14"/>
  <dimension ref="B2:R17"/>
  <sheetViews>
    <sheetView showGridLines="0" topLeftCell="A4" workbookViewId="0">
      <selection activeCell="D11" sqref="D11:D17"/>
    </sheetView>
  </sheetViews>
  <sheetFormatPr defaultRowHeight="14.5" x14ac:dyDescent="0.35"/>
  <cols>
    <col min="1" max="1" width="2.7265625" customWidth="1"/>
    <col min="2" max="2" width="19.54296875" customWidth="1"/>
    <col min="3" max="3" width="16.81640625" customWidth="1"/>
    <col min="4" max="7" width="16.54296875" customWidth="1"/>
    <col min="8" max="8" width="2.54296875" customWidth="1"/>
  </cols>
  <sheetData>
    <row r="2" spans="2:18" x14ac:dyDescent="0.35">
      <c r="B2" s="258"/>
      <c r="C2" s="258"/>
      <c r="D2" s="258"/>
      <c r="E2" s="258"/>
      <c r="F2" s="258"/>
      <c r="G2" s="258"/>
      <c r="H2" s="258"/>
      <c r="I2" s="258"/>
      <c r="J2" s="258"/>
      <c r="K2" s="258"/>
      <c r="L2" s="258"/>
      <c r="M2" s="258"/>
      <c r="N2" s="258"/>
      <c r="O2" s="258"/>
      <c r="P2" s="258"/>
      <c r="Q2" s="258"/>
      <c r="R2" s="258"/>
    </row>
    <row r="3" spans="2:18" ht="15.5" x14ac:dyDescent="0.35">
      <c r="B3" s="259" t="s">
        <v>326</v>
      </c>
      <c r="C3" s="260"/>
      <c r="D3" s="258"/>
      <c r="E3" s="258"/>
      <c r="F3" s="258"/>
      <c r="G3" s="258"/>
      <c r="H3" s="258"/>
      <c r="I3" s="258"/>
      <c r="J3" s="258"/>
      <c r="K3" s="258"/>
      <c r="L3" s="258"/>
      <c r="M3" s="258"/>
      <c r="N3" s="258"/>
      <c r="O3" s="258"/>
      <c r="P3" s="258"/>
      <c r="Q3" s="258"/>
      <c r="R3" s="258"/>
    </row>
    <row r="4" spans="2:18" ht="16" x14ac:dyDescent="0.45">
      <c r="B4" s="128" t="s">
        <v>364</v>
      </c>
      <c r="C4" s="126"/>
      <c r="D4" s="126"/>
      <c r="E4" s="258"/>
      <c r="F4" s="258"/>
      <c r="G4" s="258"/>
      <c r="H4" s="258"/>
      <c r="I4" s="258"/>
      <c r="J4" s="258"/>
      <c r="K4" s="258"/>
      <c r="L4" s="258"/>
      <c r="M4" s="258"/>
      <c r="N4" s="258"/>
      <c r="O4" s="258"/>
      <c r="P4" s="258"/>
      <c r="Q4" s="258"/>
      <c r="R4" s="258"/>
    </row>
    <row r="6" spans="2:18" ht="25" x14ac:dyDescent="0.7">
      <c r="H6" s="256" t="s">
        <v>516</v>
      </c>
      <c r="I6" s="256"/>
      <c r="J6" s="257" t="s">
        <v>515</v>
      </c>
      <c r="K6" s="256"/>
      <c r="L6" s="256"/>
      <c r="M6" s="256"/>
      <c r="N6" s="256"/>
      <c r="O6" s="256"/>
    </row>
    <row r="7" spans="2:18" ht="17.5" x14ac:dyDescent="0.45">
      <c r="B7" s="254" t="s">
        <v>514</v>
      </c>
      <c r="C7" s="253"/>
      <c r="H7" t="s">
        <v>1</v>
      </c>
      <c r="I7" s="255" t="s">
        <v>513</v>
      </c>
    </row>
    <row r="8" spans="2:18" ht="17.5" x14ac:dyDescent="0.45">
      <c r="B8" s="252"/>
      <c r="C8" s="252"/>
      <c r="H8" t="s">
        <v>2</v>
      </c>
      <c r="I8" s="255" t="s">
        <v>512</v>
      </c>
    </row>
    <row r="9" spans="2:18" ht="17.5" x14ac:dyDescent="0.45">
      <c r="B9" s="332" t="s">
        <v>506</v>
      </c>
      <c r="C9" s="333" t="s">
        <v>511</v>
      </c>
      <c r="D9" s="333" t="s">
        <v>510</v>
      </c>
    </row>
    <row r="10" spans="2:18" ht="17.5" x14ac:dyDescent="0.45">
      <c r="B10" s="252"/>
      <c r="C10" s="252"/>
      <c r="D10" s="252"/>
    </row>
    <row r="11" spans="2:18" ht="17.5" x14ac:dyDescent="0.45">
      <c r="B11" s="334" t="s">
        <v>237</v>
      </c>
      <c r="C11" s="335">
        <f>SUM('Branch A:Branch C'!C14)</f>
        <v>1875</v>
      </c>
      <c r="D11" s="335">
        <f>AVERAGE('Branch A:Branch C'!C14)</f>
        <v>625</v>
      </c>
    </row>
    <row r="12" spans="2:18" ht="17.5" x14ac:dyDescent="0.45">
      <c r="B12" s="334" t="s">
        <v>238</v>
      </c>
      <c r="C12" s="335">
        <f>SUM('Branch A:Branch C'!C15)</f>
        <v>2080</v>
      </c>
      <c r="D12" s="335">
        <f>AVERAGE('Branch A:Branch C'!C15)</f>
        <v>693.33333333333337</v>
      </c>
    </row>
    <row r="13" spans="2:18" ht="17.5" x14ac:dyDescent="0.45">
      <c r="B13" s="334" t="s">
        <v>239</v>
      </c>
      <c r="C13" s="335">
        <f>SUM('Branch A:Branch C'!C16)</f>
        <v>1775</v>
      </c>
      <c r="D13" s="335">
        <f>AVERAGE('Branch A:Branch C'!C16)</f>
        <v>591.66666666666663</v>
      </c>
    </row>
    <row r="14" spans="2:18" ht="17.5" x14ac:dyDescent="0.45">
      <c r="B14" s="334" t="s">
        <v>240</v>
      </c>
      <c r="C14" s="335">
        <f>SUM('Branch A:Branch C'!C17)</f>
        <v>1680</v>
      </c>
      <c r="D14" s="335">
        <f>AVERAGE('Branch A:Branch C'!C17)</f>
        <v>560</v>
      </c>
    </row>
    <row r="15" spans="2:18" ht="17.5" x14ac:dyDescent="0.45">
      <c r="B15" s="334" t="s">
        <v>241</v>
      </c>
      <c r="C15" s="335">
        <f>SUM('Branch A:Branch C'!C18)</f>
        <v>2255</v>
      </c>
      <c r="D15" s="335">
        <f>AVERAGE('Branch A:Branch C'!C18)</f>
        <v>751.66666666666663</v>
      </c>
    </row>
    <row r="16" spans="2:18" ht="17.5" x14ac:dyDescent="0.45">
      <c r="B16" s="334" t="s">
        <v>242</v>
      </c>
      <c r="C16" s="335">
        <f>SUM('Branch A:Branch C'!C19)</f>
        <v>2790</v>
      </c>
      <c r="D16" s="335">
        <f>AVERAGE('Branch A:Branch C'!C19)</f>
        <v>930</v>
      </c>
    </row>
    <row r="17" spans="2:4" ht="17.5" x14ac:dyDescent="0.45">
      <c r="B17" s="334" t="s">
        <v>243</v>
      </c>
      <c r="C17" s="335">
        <f>SUM('Branch A:Branch C'!C20)</f>
        <v>2240</v>
      </c>
      <c r="D17" s="335">
        <f>AVERAGE('Branch A:Branch C'!C20)</f>
        <v>746.66666666666663</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91DD9-E61C-4630-952C-8E98AD6FFA36}">
  <sheetPr codeName="Sheet3"/>
  <dimension ref="A1:AB48"/>
  <sheetViews>
    <sheetView showGridLines="0" topLeftCell="M14" zoomScaleNormal="100" workbookViewId="0">
      <selection activeCell="N12" sqref="N12:N46"/>
    </sheetView>
  </sheetViews>
  <sheetFormatPr defaultColWidth="9.1796875" defaultRowHeight="12" customHeight="1" x14ac:dyDescent="0.45"/>
  <cols>
    <col min="1" max="1" width="2.453125" style="196" customWidth="1"/>
    <col min="2" max="2" width="0.81640625" style="196" customWidth="1"/>
    <col min="3" max="3" width="9.453125" style="143" customWidth="1"/>
    <col min="4" max="4" width="16" style="215" customWidth="1"/>
    <col min="5" max="5" width="17.81640625" style="143" customWidth="1"/>
    <col min="6" max="6" width="16.7265625" style="143" bestFit="1" customWidth="1"/>
    <col min="7" max="7" width="14.81640625" style="143" bestFit="1" customWidth="1"/>
    <col min="8" max="8" width="17.26953125" style="143" bestFit="1" customWidth="1"/>
    <col min="9" max="9" width="13.26953125" style="143" customWidth="1"/>
    <col min="10" max="10" width="10.81640625" style="143" customWidth="1"/>
    <col min="11" max="16" width="11.81640625" style="143" customWidth="1"/>
    <col min="17" max="17" width="11.453125" style="143" customWidth="1"/>
    <col min="18" max="18" width="3.7265625" style="143" customWidth="1"/>
    <col min="19" max="19" width="18.26953125" style="143" customWidth="1"/>
    <col min="20" max="20" width="14.81640625" style="143" customWidth="1"/>
    <col min="21" max="21" width="16.81640625" style="143" customWidth="1"/>
    <col min="22" max="22" width="8" style="143" customWidth="1"/>
    <col min="23" max="23" width="14" style="143" customWidth="1"/>
    <col min="24" max="25" width="9.1796875" style="143"/>
    <col min="26" max="26" width="3.7265625" style="143" customWidth="1"/>
    <col min="27" max="27" width="16.26953125" style="143" customWidth="1"/>
    <col min="28" max="28" width="14.7265625" style="143" customWidth="1"/>
    <col min="29" max="16384" width="9.1796875" style="143"/>
  </cols>
  <sheetData>
    <row r="1" spans="2:28" s="25" customFormat="1" ht="16" x14ac:dyDescent="0.45"/>
    <row r="2" spans="2:28" s="25" customFormat="1" ht="16" x14ac:dyDescent="0.45">
      <c r="B2" s="126"/>
      <c r="C2" s="126"/>
      <c r="D2" s="126"/>
      <c r="E2" s="126"/>
      <c r="F2" s="126"/>
      <c r="G2" s="126"/>
      <c r="H2" s="126"/>
      <c r="I2" s="126"/>
      <c r="J2" s="126"/>
      <c r="K2" s="126"/>
      <c r="L2" s="126"/>
      <c r="M2" s="126"/>
      <c r="N2" s="126"/>
      <c r="O2" s="126"/>
      <c r="P2" s="126"/>
      <c r="Q2" s="126"/>
      <c r="R2" s="126"/>
      <c r="S2" s="126"/>
      <c r="T2" s="126"/>
      <c r="U2" s="126"/>
      <c r="V2" s="126"/>
      <c r="W2" s="126"/>
      <c r="X2" s="126"/>
      <c r="Y2" s="126"/>
      <c r="Z2" s="126"/>
      <c r="AA2" s="126"/>
      <c r="AB2" s="126"/>
    </row>
    <row r="3" spans="2:28" s="25" customFormat="1" ht="16" x14ac:dyDescent="0.45">
      <c r="B3" s="127" t="s">
        <v>326</v>
      </c>
      <c r="C3" s="128"/>
      <c r="D3" s="126"/>
      <c r="E3" s="126"/>
      <c r="F3" s="126"/>
      <c r="G3" s="126"/>
      <c r="H3" s="126"/>
      <c r="I3" s="126"/>
      <c r="J3" s="126"/>
      <c r="K3" s="126"/>
      <c r="L3" s="126"/>
      <c r="M3" s="126"/>
      <c r="N3" s="126"/>
      <c r="O3" s="126"/>
      <c r="P3" s="126"/>
      <c r="Q3" s="126"/>
      <c r="R3" s="126"/>
      <c r="S3" s="126"/>
      <c r="T3" s="126"/>
      <c r="U3" s="126"/>
      <c r="V3" s="126"/>
      <c r="W3" s="126"/>
      <c r="X3" s="126"/>
      <c r="Y3" s="126"/>
      <c r="Z3" s="126"/>
      <c r="AA3" s="126"/>
      <c r="AB3" s="126"/>
    </row>
    <row r="4" spans="2:28" s="25" customFormat="1" ht="16" x14ac:dyDescent="0.45">
      <c r="B4" s="128" t="s">
        <v>364</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2:28" s="25" customFormat="1" ht="16" x14ac:dyDescent="0.45"/>
    <row r="7" spans="2:28" s="25" customFormat="1" ht="16" x14ac:dyDescent="0.45">
      <c r="B7" s="138"/>
      <c r="C7" s="126" t="s">
        <v>16</v>
      </c>
      <c r="D7" s="126"/>
      <c r="E7" s="126"/>
      <c r="F7" s="126"/>
      <c r="G7" s="126"/>
      <c r="H7" s="126"/>
      <c r="I7" s="143"/>
      <c r="J7" s="143"/>
      <c r="K7" s="143"/>
      <c r="L7" s="143"/>
      <c r="M7" s="143"/>
      <c r="N7" s="143"/>
      <c r="O7" s="143"/>
      <c r="P7" s="143"/>
      <c r="Q7" s="143"/>
    </row>
    <row r="8" spans="2:28" s="25" customFormat="1" ht="16" x14ac:dyDescent="0.45">
      <c r="J8" s="197"/>
    </row>
    <row r="9" spans="2:28" s="25" customFormat="1" ht="16" x14ac:dyDescent="0.45">
      <c r="C9" s="198" t="s">
        <v>19</v>
      </c>
      <c r="D9" s="198"/>
      <c r="E9" s="198"/>
      <c r="F9" s="198"/>
      <c r="G9" s="198"/>
      <c r="H9" s="198"/>
      <c r="I9" s="198"/>
      <c r="J9" s="198"/>
      <c r="R9" s="143"/>
      <c r="S9" s="199" t="s">
        <v>16</v>
      </c>
      <c r="T9" s="200"/>
      <c r="U9" s="200"/>
      <c r="V9" s="200"/>
      <c r="W9" s="200"/>
      <c r="X9" s="200"/>
      <c r="Y9" s="200"/>
      <c r="Z9" s="200"/>
    </row>
    <row r="10" spans="2:28" s="25" customFormat="1" ht="6" customHeight="1" x14ac:dyDescent="0.45"/>
    <row r="11" spans="2:28" s="25" customFormat="1" ht="16" x14ac:dyDescent="0.45">
      <c r="C11" s="26" t="s">
        <v>39</v>
      </c>
      <c r="D11" s="26" t="s">
        <v>75</v>
      </c>
      <c r="E11" s="26" t="s">
        <v>20</v>
      </c>
      <c r="F11" s="107" t="s">
        <v>318</v>
      </c>
      <c r="G11" s="26" t="s">
        <v>76</v>
      </c>
      <c r="H11" s="26" t="s">
        <v>77</v>
      </c>
      <c r="I11" s="26" t="s">
        <v>21</v>
      </c>
      <c r="J11" s="26" t="s">
        <v>22</v>
      </c>
      <c r="K11" s="104" t="s">
        <v>410</v>
      </c>
      <c r="L11" s="104" t="s">
        <v>411</v>
      </c>
      <c r="M11" s="104" t="s">
        <v>412</v>
      </c>
      <c r="N11" s="104" t="s">
        <v>413</v>
      </c>
      <c r="O11" s="104" t="s">
        <v>414</v>
      </c>
      <c r="P11" s="104" t="s">
        <v>415</v>
      </c>
      <c r="S11" s="201" t="s">
        <v>311</v>
      </c>
      <c r="T11" s="143"/>
      <c r="U11" s="143"/>
      <c r="V11" s="143"/>
      <c r="W11" s="143"/>
      <c r="X11" s="143"/>
      <c r="Y11" s="143"/>
      <c r="Z11" s="143"/>
      <c r="AA11" s="202"/>
    </row>
    <row r="12" spans="2:28" s="25" customFormat="1" ht="16" x14ac:dyDescent="0.45">
      <c r="C12" s="27" t="s">
        <v>40</v>
      </c>
      <c r="D12" s="103">
        <v>36566</v>
      </c>
      <c r="E12" s="27" t="s">
        <v>23</v>
      </c>
      <c r="F12" s="105" t="s">
        <v>321</v>
      </c>
      <c r="G12" s="27">
        <v>13</v>
      </c>
      <c r="H12" s="27" t="s">
        <v>25</v>
      </c>
      <c r="I12" s="27">
        <v>4</v>
      </c>
      <c r="J12" s="28">
        <v>24016</v>
      </c>
      <c r="K12" s="203">
        <f>IF(H12="full time",500,0)</f>
        <v>500</v>
      </c>
      <c r="L12" s="203">
        <f>IF(J12&gt;=6500,J12*0.15,0)</f>
        <v>3602.4</v>
      </c>
      <c r="M12" s="203">
        <f>IF(H12&lt;&gt;"CONTRACT",5000,0)</f>
        <v>5000</v>
      </c>
      <c r="N12" s="203">
        <f>IF(I12&lt;2,0,IF(I12&lt;4,200,IF(I12&gt;4,350,)))</f>
        <v>0</v>
      </c>
      <c r="O12" s="203">
        <f>IF(AND(I12&gt;3,G12&gt;10),5000,0)</f>
        <v>5000</v>
      </c>
      <c r="P12" s="203">
        <f>IF(OR(I12&gt;3,G12&gt;10),5000,0)</f>
        <v>5000</v>
      </c>
      <c r="S12" s="143"/>
      <c r="T12" s="143"/>
      <c r="U12" s="143"/>
      <c r="V12" s="143"/>
      <c r="W12" s="143"/>
      <c r="X12" s="143"/>
      <c r="Y12" s="143"/>
      <c r="Z12" s="143"/>
      <c r="AA12" s="202"/>
    </row>
    <row r="13" spans="2:28" s="25" customFormat="1" ht="16" x14ac:dyDescent="0.45">
      <c r="C13" s="27" t="s">
        <v>41</v>
      </c>
      <c r="D13" s="103">
        <v>37466</v>
      </c>
      <c r="E13" s="27" t="s">
        <v>24</v>
      </c>
      <c r="F13" s="105" t="s">
        <v>316</v>
      </c>
      <c r="G13" s="27">
        <v>14</v>
      </c>
      <c r="H13" s="27" t="s">
        <v>25</v>
      </c>
      <c r="I13" s="27">
        <v>3</v>
      </c>
      <c r="J13" s="28">
        <v>20160</v>
      </c>
      <c r="K13" s="203">
        <f t="shared" ref="K13:K46" si="0">IF(H13="full time",500,0)</f>
        <v>500</v>
      </c>
      <c r="L13" s="203">
        <f t="shared" ref="L13:L46" si="1">IF(J13&gt;=6500,J13*0.15,0)</f>
        <v>3024</v>
      </c>
      <c r="M13" s="203">
        <f t="shared" ref="M13:M46" si="2">IF(H13&lt;&gt;"CONTRACT",5000,0)</f>
        <v>5000</v>
      </c>
      <c r="N13" s="203">
        <f t="shared" ref="N13:N46" si="3">IF(I13&lt;2,0,IF(I13&lt;4,200,IF(I13&gt;4,350,)))</f>
        <v>200</v>
      </c>
      <c r="O13" s="203">
        <f t="shared" ref="O13:O46" si="4">IF(AND(I13&gt;3,G13&gt;10),5000,0)</f>
        <v>0</v>
      </c>
      <c r="P13" s="203">
        <f t="shared" ref="P13:P46" si="5">IF(OR(I13&gt;3,G13&gt;10),5000,0)</f>
        <v>5000</v>
      </c>
      <c r="S13" s="106" t="s">
        <v>310</v>
      </c>
      <c r="T13" s="201"/>
      <c r="Y13" s="206"/>
      <c r="Z13" s="207"/>
    </row>
    <row r="14" spans="2:28" s="25" customFormat="1" ht="16" x14ac:dyDescent="0.45">
      <c r="C14" s="27" t="s">
        <v>42</v>
      </c>
      <c r="D14" s="103">
        <v>39960</v>
      </c>
      <c r="E14" s="27" t="s">
        <v>26</v>
      </c>
      <c r="F14" s="105" t="s">
        <v>319</v>
      </c>
      <c r="G14" s="27">
        <v>19</v>
      </c>
      <c r="H14" s="27" t="s">
        <v>25</v>
      </c>
      <c r="I14" s="27">
        <v>2</v>
      </c>
      <c r="J14" s="28">
        <v>7014</v>
      </c>
      <c r="K14" s="203">
        <f t="shared" si="0"/>
        <v>500</v>
      </c>
      <c r="L14" s="203">
        <f t="shared" si="1"/>
        <v>1052.0999999999999</v>
      </c>
      <c r="M14" s="203">
        <f t="shared" si="2"/>
        <v>5000</v>
      </c>
      <c r="N14" s="203">
        <f t="shared" si="3"/>
        <v>200</v>
      </c>
      <c r="O14" s="203">
        <f t="shared" si="4"/>
        <v>0</v>
      </c>
      <c r="P14" s="203">
        <f t="shared" si="5"/>
        <v>5000</v>
      </c>
      <c r="S14" s="197"/>
      <c r="T14" s="197"/>
      <c r="Y14" s="206"/>
    </row>
    <row r="15" spans="2:28" s="25" customFormat="1" ht="16" x14ac:dyDescent="0.45">
      <c r="C15" s="27" t="s">
        <v>43</v>
      </c>
      <c r="D15" s="103">
        <v>39210</v>
      </c>
      <c r="E15" s="27" t="s">
        <v>28</v>
      </c>
      <c r="F15" s="105" t="s">
        <v>314</v>
      </c>
      <c r="G15" s="27">
        <v>14</v>
      </c>
      <c r="H15" s="27" t="s">
        <v>25</v>
      </c>
      <c r="I15" s="27">
        <v>4</v>
      </c>
      <c r="J15" s="28">
        <v>8554</v>
      </c>
      <c r="K15" s="203">
        <f t="shared" si="0"/>
        <v>500</v>
      </c>
      <c r="L15" s="203">
        <f t="shared" si="1"/>
        <v>1283.0999999999999</v>
      </c>
      <c r="M15" s="203">
        <f t="shared" si="2"/>
        <v>5000</v>
      </c>
      <c r="N15" s="203">
        <f t="shared" si="3"/>
        <v>0</v>
      </c>
      <c r="O15" s="203">
        <f t="shared" si="4"/>
        <v>5000</v>
      </c>
      <c r="P15" s="203">
        <f t="shared" si="5"/>
        <v>5000</v>
      </c>
      <c r="S15" s="204" t="s">
        <v>418</v>
      </c>
      <c r="T15" s="205" t="s">
        <v>15</v>
      </c>
      <c r="U15" s="202"/>
      <c r="V15" s="206"/>
      <c r="Y15" s="206"/>
    </row>
    <row r="16" spans="2:28" s="25" customFormat="1" ht="16" x14ac:dyDescent="0.45">
      <c r="C16" s="27" t="s">
        <v>44</v>
      </c>
      <c r="D16" s="103">
        <v>40495</v>
      </c>
      <c r="E16" s="27" t="s">
        <v>29</v>
      </c>
      <c r="F16" s="105" t="s">
        <v>315</v>
      </c>
      <c r="G16" s="27">
        <v>15</v>
      </c>
      <c r="H16" s="27" t="s">
        <v>25</v>
      </c>
      <c r="I16" s="27">
        <v>3</v>
      </c>
      <c r="J16" s="28">
        <v>8508</v>
      </c>
      <c r="K16" s="203">
        <f t="shared" si="0"/>
        <v>500</v>
      </c>
      <c r="L16" s="203">
        <f t="shared" si="1"/>
        <v>1276.2</v>
      </c>
      <c r="M16" s="203">
        <f t="shared" si="2"/>
        <v>5000</v>
      </c>
      <c r="N16" s="203">
        <f t="shared" si="3"/>
        <v>200</v>
      </c>
      <c r="O16" s="203">
        <f t="shared" si="4"/>
        <v>0</v>
      </c>
      <c r="P16" s="203">
        <f t="shared" si="5"/>
        <v>5000</v>
      </c>
      <c r="S16" s="204" t="s">
        <v>419</v>
      </c>
      <c r="T16" s="205" t="s">
        <v>17</v>
      </c>
      <c r="U16" s="202"/>
      <c r="V16" s="206"/>
      <c r="Y16" s="206"/>
    </row>
    <row r="17" spans="3:25" s="25" customFormat="1" ht="16" x14ac:dyDescent="0.45">
      <c r="C17" s="27" t="s">
        <v>45</v>
      </c>
      <c r="D17" s="103">
        <v>40970</v>
      </c>
      <c r="E17" s="27" t="s">
        <v>30</v>
      </c>
      <c r="F17" s="105" t="s">
        <v>316</v>
      </c>
      <c r="G17" s="27">
        <v>9</v>
      </c>
      <c r="H17" s="27" t="s">
        <v>27</v>
      </c>
      <c r="I17" s="27">
        <v>2</v>
      </c>
      <c r="J17" s="28">
        <v>9568</v>
      </c>
      <c r="K17" s="203">
        <f t="shared" si="0"/>
        <v>0</v>
      </c>
      <c r="L17" s="203">
        <f t="shared" si="1"/>
        <v>1435.2</v>
      </c>
      <c r="M17" s="203">
        <f t="shared" si="2"/>
        <v>0</v>
      </c>
      <c r="N17" s="203">
        <f t="shared" si="3"/>
        <v>200</v>
      </c>
      <c r="O17" s="203">
        <f t="shared" si="4"/>
        <v>0</v>
      </c>
      <c r="P17" s="203">
        <f t="shared" si="5"/>
        <v>0</v>
      </c>
      <c r="S17" s="204" t="s">
        <v>420</v>
      </c>
      <c r="T17" s="205" t="s">
        <v>18</v>
      </c>
      <c r="U17" s="202"/>
      <c r="V17" s="206"/>
      <c r="Y17" s="206"/>
    </row>
    <row r="18" spans="3:25" s="25" customFormat="1" ht="16" x14ac:dyDescent="0.45">
      <c r="C18" s="27" t="s">
        <v>46</v>
      </c>
      <c r="D18" s="103">
        <v>41695</v>
      </c>
      <c r="E18" s="27" t="s">
        <v>31</v>
      </c>
      <c r="F18" s="105" t="s">
        <v>316</v>
      </c>
      <c r="G18" s="27">
        <v>5</v>
      </c>
      <c r="H18" s="27" t="s">
        <v>78</v>
      </c>
      <c r="I18" s="27">
        <v>3</v>
      </c>
      <c r="J18" s="28">
        <v>3004</v>
      </c>
      <c r="K18" s="203">
        <f t="shared" si="0"/>
        <v>0</v>
      </c>
      <c r="L18" s="203">
        <f t="shared" si="1"/>
        <v>0</v>
      </c>
      <c r="M18" s="203">
        <f t="shared" si="2"/>
        <v>5000</v>
      </c>
      <c r="N18" s="203">
        <f t="shared" si="3"/>
        <v>200</v>
      </c>
      <c r="O18" s="203">
        <f t="shared" si="4"/>
        <v>0</v>
      </c>
      <c r="P18" s="203">
        <f t="shared" si="5"/>
        <v>0</v>
      </c>
      <c r="S18" s="208"/>
      <c r="T18" s="209"/>
      <c r="U18" s="202"/>
      <c r="V18" s="206"/>
      <c r="Y18" s="206"/>
    </row>
    <row r="19" spans="3:25" s="25" customFormat="1" ht="16" x14ac:dyDescent="0.45">
      <c r="C19" s="27" t="s">
        <v>47</v>
      </c>
      <c r="D19" s="103">
        <v>38967</v>
      </c>
      <c r="E19" s="27" t="s">
        <v>32</v>
      </c>
      <c r="F19" s="105" t="s">
        <v>316</v>
      </c>
      <c r="G19" s="27">
        <v>10</v>
      </c>
      <c r="H19" s="27" t="s">
        <v>25</v>
      </c>
      <c r="I19" s="27">
        <v>3</v>
      </c>
      <c r="J19" s="28">
        <v>7960</v>
      </c>
      <c r="K19" s="203">
        <f t="shared" si="0"/>
        <v>500</v>
      </c>
      <c r="L19" s="203">
        <f t="shared" si="1"/>
        <v>1194</v>
      </c>
      <c r="M19" s="203">
        <f t="shared" si="2"/>
        <v>5000</v>
      </c>
      <c r="N19" s="203">
        <f t="shared" si="3"/>
        <v>200</v>
      </c>
      <c r="O19" s="203">
        <f t="shared" si="4"/>
        <v>0</v>
      </c>
      <c r="P19" s="203">
        <f t="shared" si="5"/>
        <v>0</v>
      </c>
      <c r="S19" s="230" t="s">
        <v>421</v>
      </c>
      <c r="T19" s="205" t="s">
        <v>392</v>
      </c>
      <c r="U19" s="202"/>
      <c r="V19" s="206"/>
      <c r="Y19" s="206"/>
    </row>
    <row r="20" spans="3:25" s="25" customFormat="1" ht="16" x14ac:dyDescent="0.45">
      <c r="C20" s="27" t="s">
        <v>48</v>
      </c>
      <c r="D20" s="103">
        <v>36708</v>
      </c>
      <c r="E20" s="27" t="s">
        <v>33</v>
      </c>
      <c r="F20" s="105" t="s">
        <v>312</v>
      </c>
      <c r="G20" s="27">
        <v>14</v>
      </c>
      <c r="H20" s="27" t="s">
        <v>25</v>
      </c>
      <c r="I20" s="27">
        <v>1</v>
      </c>
      <c r="J20" s="28">
        <v>5562</v>
      </c>
      <c r="K20" s="203">
        <f t="shared" si="0"/>
        <v>500</v>
      </c>
      <c r="L20" s="203">
        <f t="shared" si="1"/>
        <v>0</v>
      </c>
      <c r="M20" s="203">
        <f t="shared" si="2"/>
        <v>5000</v>
      </c>
      <c r="N20" s="203">
        <f t="shared" si="3"/>
        <v>0</v>
      </c>
      <c r="O20" s="203">
        <f t="shared" si="4"/>
        <v>0</v>
      </c>
      <c r="P20" s="203">
        <f t="shared" si="5"/>
        <v>5000</v>
      </c>
      <c r="S20" s="210"/>
      <c r="T20" s="209" t="s">
        <v>393</v>
      </c>
      <c r="U20" s="202"/>
      <c r="V20" s="206"/>
      <c r="Y20" s="206"/>
    </row>
    <row r="21" spans="3:25" s="25" customFormat="1" ht="16" x14ac:dyDescent="0.45">
      <c r="C21" s="27" t="s">
        <v>49</v>
      </c>
      <c r="D21" s="103">
        <v>38051</v>
      </c>
      <c r="E21" s="27" t="s">
        <v>34</v>
      </c>
      <c r="F21" s="105" t="s">
        <v>320</v>
      </c>
      <c r="G21" s="27">
        <v>10</v>
      </c>
      <c r="H21" s="27" t="s">
        <v>25</v>
      </c>
      <c r="I21" s="27">
        <v>1</v>
      </c>
      <c r="J21" s="28">
        <v>5640</v>
      </c>
      <c r="K21" s="203">
        <f t="shared" si="0"/>
        <v>500</v>
      </c>
      <c r="L21" s="203">
        <f t="shared" si="1"/>
        <v>0</v>
      </c>
      <c r="M21" s="203">
        <f t="shared" si="2"/>
        <v>5000</v>
      </c>
      <c r="N21" s="203">
        <f t="shared" si="3"/>
        <v>0</v>
      </c>
      <c r="O21" s="203">
        <f t="shared" si="4"/>
        <v>0</v>
      </c>
      <c r="P21" s="203">
        <f t="shared" si="5"/>
        <v>0</v>
      </c>
      <c r="S21" s="210"/>
      <c r="T21" s="209" t="s">
        <v>394</v>
      </c>
      <c r="U21" s="202"/>
      <c r="V21" s="206"/>
      <c r="Y21" s="206"/>
    </row>
    <row r="22" spans="3:25" s="25" customFormat="1" ht="16" x14ac:dyDescent="0.45">
      <c r="C22" s="27" t="s">
        <v>50</v>
      </c>
      <c r="D22" s="103">
        <v>40422</v>
      </c>
      <c r="E22" s="27" t="s">
        <v>35</v>
      </c>
      <c r="F22" s="105" t="s">
        <v>316</v>
      </c>
      <c r="G22" s="27">
        <v>10</v>
      </c>
      <c r="H22" s="27" t="s">
        <v>25</v>
      </c>
      <c r="I22" s="27">
        <v>3</v>
      </c>
      <c r="J22" s="28">
        <v>3512</v>
      </c>
      <c r="K22" s="203">
        <f t="shared" si="0"/>
        <v>500</v>
      </c>
      <c r="L22" s="203">
        <f t="shared" si="1"/>
        <v>0</v>
      </c>
      <c r="M22" s="203">
        <f t="shared" si="2"/>
        <v>5000</v>
      </c>
      <c r="N22" s="203">
        <f t="shared" si="3"/>
        <v>200</v>
      </c>
      <c r="O22" s="203">
        <f t="shared" si="4"/>
        <v>0</v>
      </c>
      <c r="P22" s="203">
        <f t="shared" si="5"/>
        <v>0</v>
      </c>
      <c r="S22" s="208"/>
      <c r="T22" s="211"/>
      <c r="U22" s="202"/>
      <c r="V22" s="206"/>
      <c r="Y22" s="206"/>
    </row>
    <row r="23" spans="3:25" s="25" customFormat="1" ht="16" x14ac:dyDescent="0.45">
      <c r="C23" s="27" t="s">
        <v>51</v>
      </c>
      <c r="D23" s="103">
        <v>41235</v>
      </c>
      <c r="E23" s="27" t="s">
        <v>36</v>
      </c>
      <c r="F23" s="105" t="s">
        <v>314</v>
      </c>
      <c r="G23" s="27">
        <v>9</v>
      </c>
      <c r="H23" s="27" t="s">
        <v>78</v>
      </c>
      <c r="I23" s="27">
        <v>1</v>
      </c>
      <c r="J23" s="28">
        <v>4020</v>
      </c>
      <c r="K23" s="203">
        <f t="shared" si="0"/>
        <v>0</v>
      </c>
      <c r="L23" s="203">
        <f t="shared" si="1"/>
        <v>0</v>
      </c>
      <c r="M23" s="203">
        <f t="shared" si="2"/>
        <v>5000</v>
      </c>
      <c r="N23" s="203">
        <f t="shared" si="3"/>
        <v>0</v>
      </c>
      <c r="O23" s="203">
        <f t="shared" si="4"/>
        <v>0</v>
      </c>
      <c r="P23" s="203">
        <f t="shared" si="5"/>
        <v>0</v>
      </c>
      <c r="S23" s="212" t="s">
        <v>416</v>
      </c>
      <c r="T23" s="205" t="s">
        <v>390</v>
      </c>
      <c r="U23" s="202"/>
      <c r="V23" s="206"/>
      <c r="Y23" s="206"/>
    </row>
    <row r="24" spans="3:25" s="25" customFormat="1" ht="16" x14ac:dyDescent="0.45">
      <c r="C24" s="27" t="s">
        <v>52</v>
      </c>
      <c r="D24" s="103">
        <v>39017</v>
      </c>
      <c r="E24" s="27" t="s">
        <v>37</v>
      </c>
      <c r="F24" s="105" t="s">
        <v>321</v>
      </c>
      <c r="G24" s="27">
        <v>10</v>
      </c>
      <c r="H24" s="27" t="s">
        <v>27</v>
      </c>
      <c r="I24" s="27">
        <v>5</v>
      </c>
      <c r="J24" s="28">
        <v>9428</v>
      </c>
      <c r="K24" s="203">
        <f t="shared" si="0"/>
        <v>0</v>
      </c>
      <c r="L24" s="203">
        <f t="shared" si="1"/>
        <v>1414.2</v>
      </c>
      <c r="M24" s="203">
        <f t="shared" si="2"/>
        <v>0</v>
      </c>
      <c r="N24" s="203">
        <f t="shared" si="3"/>
        <v>350</v>
      </c>
      <c r="O24" s="203">
        <f t="shared" si="4"/>
        <v>0</v>
      </c>
      <c r="P24" s="203">
        <f t="shared" si="5"/>
        <v>5000</v>
      </c>
      <c r="S24" s="213"/>
      <c r="T24" s="209" t="s">
        <v>389</v>
      </c>
      <c r="U24" s="202"/>
      <c r="V24" s="206"/>
      <c r="Y24" s="206"/>
    </row>
    <row r="25" spans="3:25" s="25" customFormat="1" ht="16" x14ac:dyDescent="0.45">
      <c r="C25" s="27" t="s">
        <v>53</v>
      </c>
      <c r="D25" s="103">
        <v>40201</v>
      </c>
      <c r="E25" s="27" t="s">
        <v>38</v>
      </c>
      <c r="F25" s="105" t="s">
        <v>313</v>
      </c>
      <c r="G25" s="27">
        <v>6</v>
      </c>
      <c r="H25" s="27" t="s">
        <v>25</v>
      </c>
      <c r="I25" s="27">
        <v>5</v>
      </c>
      <c r="J25" s="28">
        <v>12124</v>
      </c>
      <c r="K25" s="203">
        <f t="shared" si="0"/>
        <v>500</v>
      </c>
      <c r="L25" s="203">
        <f t="shared" si="1"/>
        <v>1818.6</v>
      </c>
      <c r="M25" s="203">
        <f t="shared" si="2"/>
        <v>5000</v>
      </c>
      <c r="N25" s="203">
        <f t="shared" si="3"/>
        <v>350</v>
      </c>
      <c r="O25" s="203">
        <f t="shared" si="4"/>
        <v>0</v>
      </c>
      <c r="P25" s="203">
        <f t="shared" si="5"/>
        <v>5000</v>
      </c>
      <c r="S25" s="212" t="s">
        <v>417</v>
      </c>
      <c r="T25" s="205" t="s">
        <v>391</v>
      </c>
      <c r="U25" s="202"/>
      <c r="V25" s="206"/>
    </row>
    <row r="26" spans="3:25" s="25" customFormat="1" ht="16" x14ac:dyDescent="0.45">
      <c r="C26" s="27" t="s">
        <v>54</v>
      </c>
      <c r="D26" s="103">
        <v>41543</v>
      </c>
      <c r="E26" s="27" t="s">
        <v>79</v>
      </c>
      <c r="F26" s="105" t="s">
        <v>312</v>
      </c>
      <c r="G26" s="27">
        <v>13</v>
      </c>
      <c r="H26" s="27" t="s">
        <v>78</v>
      </c>
      <c r="I26" s="27">
        <v>2</v>
      </c>
      <c r="J26" s="28">
        <v>1700</v>
      </c>
      <c r="K26" s="203">
        <f t="shared" si="0"/>
        <v>0</v>
      </c>
      <c r="L26" s="203">
        <f t="shared" si="1"/>
        <v>0</v>
      </c>
      <c r="M26" s="203">
        <f t="shared" si="2"/>
        <v>5000</v>
      </c>
      <c r="N26" s="203">
        <f t="shared" si="3"/>
        <v>200</v>
      </c>
      <c r="O26" s="203">
        <f t="shared" si="4"/>
        <v>0</v>
      </c>
      <c r="P26" s="203">
        <f t="shared" si="5"/>
        <v>5000</v>
      </c>
      <c r="S26" s="214"/>
      <c r="T26" s="209" t="s">
        <v>389</v>
      </c>
      <c r="U26" s="202"/>
      <c r="V26" s="206"/>
    </row>
    <row r="27" spans="3:25" s="25" customFormat="1" ht="16" x14ac:dyDescent="0.45">
      <c r="C27" s="27" t="s">
        <v>55</v>
      </c>
      <c r="D27" s="103">
        <v>37643</v>
      </c>
      <c r="E27" s="27" t="s">
        <v>80</v>
      </c>
      <c r="F27" s="105" t="s">
        <v>321</v>
      </c>
      <c r="G27" s="27">
        <v>8</v>
      </c>
      <c r="H27" s="27" t="s">
        <v>78</v>
      </c>
      <c r="I27" s="27">
        <v>3</v>
      </c>
      <c r="J27" s="28">
        <v>3250</v>
      </c>
      <c r="K27" s="203">
        <f t="shared" si="0"/>
        <v>0</v>
      </c>
      <c r="L27" s="203">
        <f t="shared" si="1"/>
        <v>0</v>
      </c>
      <c r="M27" s="203">
        <f t="shared" si="2"/>
        <v>5000</v>
      </c>
      <c r="N27" s="203">
        <f t="shared" si="3"/>
        <v>200</v>
      </c>
      <c r="O27" s="203">
        <f t="shared" si="4"/>
        <v>0</v>
      </c>
      <c r="P27" s="203">
        <f t="shared" si="5"/>
        <v>0</v>
      </c>
    </row>
    <row r="28" spans="3:25" s="25" customFormat="1" ht="16" x14ac:dyDescent="0.45">
      <c r="C28" s="27" t="s">
        <v>56</v>
      </c>
      <c r="D28" s="103">
        <v>37217</v>
      </c>
      <c r="E28" s="27" t="s">
        <v>81</v>
      </c>
      <c r="F28" s="105" t="s">
        <v>316</v>
      </c>
      <c r="G28" s="27">
        <v>12</v>
      </c>
      <c r="H28" s="27" t="s">
        <v>27</v>
      </c>
      <c r="I28" s="27">
        <v>2</v>
      </c>
      <c r="J28" s="28">
        <v>2500</v>
      </c>
      <c r="K28" s="203">
        <f t="shared" si="0"/>
        <v>0</v>
      </c>
      <c r="L28" s="203">
        <f t="shared" si="1"/>
        <v>0</v>
      </c>
      <c r="M28" s="203">
        <f t="shared" si="2"/>
        <v>0</v>
      </c>
      <c r="N28" s="203">
        <f t="shared" si="3"/>
        <v>200</v>
      </c>
      <c r="O28" s="203">
        <f t="shared" si="4"/>
        <v>0</v>
      </c>
      <c r="P28" s="203">
        <f t="shared" si="5"/>
        <v>5000</v>
      </c>
    </row>
    <row r="29" spans="3:25" s="25" customFormat="1" ht="16" x14ac:dyDescent="0.45">
      <c r="C29" s="27" t="s">
        <v>57</v>
      </c>
      <c r="D29" s="103">
        <v>42289</v>
      </c>
      <c r="E29" s="27" t="s">
        <v>82</v>
      </c>
      <c r="F29" s="105" t="s">
        <v>320</v>
      </c>
      <c r="G29" s="27">
        <v>15</v>
      </c>
      <c r="H29" s="27" t="s">
        <v>78</v>
      </c>
      <c r="I29" s="27">
        <v>2</v>
      </c>
      <c r="J29" s="28">
        <v>1236</v>
      </c>
      <c r="K29" s="203">
        <f t="shared" si="0"/>
        <v>0</v>
      </c>
      <c r="L29" s="203">
        <f t="shared" si="1"/>
        <v>0</v>
      </c>
      <c r="M29" s="203">
        <f t="shared" si="2"/>
        <v>5000</v>
      </c>
      <c r="N29" s="203">
        <f t="shared" si="3"/>
        <v>200</v>
      </c>
      <c r="O29" s="203">
        <f t="shared" si="4"/>
        <v>0</v>
      </c>
      <c r="P29" s="203">
        <f t="shared" si="5"/>
        <v>5000</v>
      </c>
    </row>
    <row r="30" spans="3:25" s="25" customFormat="1" ht="16" x14ac:dyDescent="0.45">
      <c r="C30" s="27" t="s">
        <v>58</v>
      </c>
      <c r="D30" s="103">
        <v>41687</v>
      </c>
      <c r="E30" s="27" t="s">
        <v>83</v>
      </c>
      <c r="F30" s="105" t="s">
        <v>317</v>
      </c>
      <c r="G30" s="27">
        <v>5</v>
      </c>
      <c r="H30" s="27" t="s">
        <v>78</v>
      </c>
      <c r="I30" s="27">
        <v>5</v>
      </c>
      <c r="J30" s="28">
        <v>1700</v>
      </c>
      <c r="K30" s="203">
        <f t="shared" si="0"/>
        <v>0</v>
      </c>
      <c r="L30" s="203">
        <f t="shared" si="1"/>
        <v>0</v>
      </c>
      <c r="M30" s="203">
        <f t="shared" si="2"/>
        <v>5000</v>
      </c>
      <c r="N30" s="203">
        <f t="shared" si="3"/>
        <v>350</v>
      </c>
      <c r="O30" s="203">
        <f t="shared" si="4"/>
        <v>0</v>
      </c>
      <c r="P30" s="203">
        <f t="shared" si="5"/>
        <v>5000</v>
      </c>
    </row>
    <row r="31" spans="3:25" s="25" customFormat="1" ht="16" x14ac:dyDescent="0.45">
      <c r="C31" s="27" t="s">
        <v>59</v>
      </c>
      <c r="D31" s="103">
        <v>38292</v>
      </c>
      <c r="E31" s="27" t="s">
        <v>84</v>
      </c>
      <c r="F31" s="105" t="s">
        <v>320</v>
      </c>
      <c r="G31" s="27">
        <v>14</v>
      </c>
      <c r="H31" s="27" t="s">
        <v>25</v>
      </c>
      <c r="I31" s="27">
        <v>4</v>
      </c>
      <c r="J31" s="28">
        <v>12640</v>
      </c>
      <c r="K31" s="203">
        <f t="shared" si="0"/>
        <v>500</v>
      </c>
      <c r="L31" s="203">
        <f t="shared" si="1"/>
        <v>1896</v>
      </c>
      <c r="M31" s="203">
        <f t="shared" si="2"/>
        <v>5000</v>
      </c>
      <c r="N31" s="203">
        <f t="shared" si="3"/>
        <v>0</v>
      </c>
      <c r="O31" s="203">
        <f t="shared" si="4"/>
        <v>5000</v>
      </c>
      <c r="P31" s="203">
        <f t="shared" si="5"/>
        <v>5000</v>
      </c>
    </row>
    <row r="32" spans="3:25" s="25" customFormat="1" ht="16" x14ac:dyDescent="0.45">
      <c r="C32" s="27" t="s">
        <v>60</v>
      </c>
      <c r="D32" s="103">
        <v>41250</v>
      </c>
      <c r="E32" s="27" t="s">
        <v>85</v>
      </c>
      <c r="F32" s="105" t="s">
        <v>312</v>
      </c>
      <c r="G32" s="27">
        <v>14</v>
      </c>
      <c r="H32" s="27" t="s">
        <v>25</v>
      </c>
      <c r="I32" s="27">
        <v>3</v>
      </c>
      <c r="J32" s="28">
        <v>10778</v>
      </c>
      <c r="K32" s="203">
        <f t="shared" si="0"/>
        <v>500</v>
      </c>
      <c r="L32" s="203">
        <f t="shared" si="1"/>
        <v>1616.7</v>
      </c>
      <c r="M32" s="203">
        <f t="shared" si="2"/>
        <v>5000</v>
      </c>
      <c r="N32" s="203">
        <f t="shared" si="3"/>
        <v>200</v>
      </c>
      <c r="O32" s="203">
        <f t="shared" si="4"/>
        <v>0</v>
      </c>
      <c r="P32" s="203">
        <f t="shared" si="5"/>
        <v>5000</v>
      </c>
    </row>
    <row r="33" spans="3:28" s="25" customFormat="1" ht="16" x14ac:dyDescent="0.45">
      <c r="C33" s="27" t="s">
        <v>61</v>
      </c>
      <c r="D33" s="103">
        <v>40706</v>
      </c>
      <c r="E33" s="27" t="s">
        <v>86</v>
      </c>
      <c r="F33" s="105" t="s">
        <v>319</v>
      </c>
      <c r="G33" s="27">
        <v>11</v>
      </c>
      <c r="H33" s="27" t="s">
        <v>78</v>
      </c>
      <c r="I33" s="27">
        <v>4</v>
      </c>
      <c r="J33" s="28">
        <v>1700</v>
      </c>
      <c r="K33" s="203">
        <f t="shared" si="0"/>
        <v>0</v>
      </c>
      <c r="L33" s="203">
        <f t="shared" si="1"/>
        <v>0</v>
      </c>
      <c r="M33" s="203">
        <f t="shared" si="2"/>
        <v>5000</v>
      </c>
      <c r="N33" s="203">
        <f t="shared" si="3"/>
        <v>0</v>
      </c>
      <c r="O33" s="203">
        <f t="shared" si="4"/>
        <v>5000</v>
      </c>
      <c r="P33" s="203">
        <f t="shared" si="5"/>
        <v>5000</v>
      </c>
    </row>
    <row r="34" spans="3:28" s="25" customFormat="1" ht="16" x14ac:dyDescent="0.45">
      <c r="C34" s="27" t="s">
        <v>62</v>
      </c>
      <c r="D34" s="103">
        <v>41200</v>
      </c>
      <c r="E34" s="27" t="s">
        <v>87</v>
      </c>
      <c r="F34" s="105" t="s">
        <v>319</v>
      </c>
      <c r="G34" s="27">
        <v>7</v>
      </c>
      <c r="H34" s="27" t="s">
        <v>27</v>
      </c>
      <c r="I34" s="27">
        <v>5</v>
      </c>
      <c r="J34" s="28">
        <v>2500</v>
      </c>
      <c r="K34" s="203">
        <f t="shared" si="0"/>
        <v>0</v>
      </c>
      <c r="L34" s="203">
        <f t="shared" si="1"/>
        <v>0</v>
      </c>
      <c r="M34" s="203">
        <f t="shared" si="2"/>
        <v>0</v>
      </c>
      <c r="N34" s="203">
        <f t="shared" si="3"/>
        <v>350</v>
      </c>
      <c r="O34" s="203">
        <f t="shared" si="4"/>
        <v>0</v>
      </c>
      <c r="P34" s="203">
        <f t="shared" si="5"/>
        <v>5000</v>
      </c>
    </row>
    <row r="35" spans="3:28" s="25" customFormat="1" ht="16" x14ac:dyDescent="0.45">
      <c r="C35" s="27" t="s">
        <v>63</v>
      </c>
      <c r="D35" s="103">
        <v>41558</v>
      </c>
      <c r="E35" s="27" t="s">
        <v>88</v>
      </c>
      <c r="F35" s="105" t="s">
        <v>317</v>
      </c>
      <c r="G35" s="27">
        <v>12</v>
      </c>
      <c r="H35" s="27" t="s">
        <v>27</v>
      </c>
      <c r="I35" s="27">
        <v>2</v>
      </c>
      <c r="J35" s="28">
        <v>2500</v>
      </c>
      <c r="K35" s="203">
        <f t="shared" si="0"/>
        <v>0</v>
      </c>
      <c r="L35" s="203">
        <f t="shared" si="1"/>
        <v>0</v>
      </c>
      <c r="M35" s="203">
        <f t="shared" si="2"/>
        <v>0</v>
      </c>
      <c r="N35" s="203">
        <f t="shared" si="3"/>
        <v>200</v>
      </c>
      <c r="O35" s="203">
        <f t="shared" si="4"/>
        <v>0</v>
      </c>
      <c r="P35" s="203">
        <f t="shared" si="5"/>
        <v>5000</v>
      </c>
    </row>
    <row r="36" spans="3:28" s="25" customFormat="1" ht="16" x14ac:dyDescent="0.45">
      <c r="C36" s="27" t="s">
        <v>64</v>
      </c>
      <c r="D36" s="103">
        <v>39172</v>
      </c>
      <c r="E36" s="27" t="s">
        <v>89</v>
      </c>
      <c r="F36" s="105" t="s">
        <v>319</v>
      </c>
      <c r="G36" s="27">
        <v>14</v>
      </c>
      <c r="H36" s="27" t="s">
        <v>78</v>
      </c>
      <c r="I36" s="27">
        <v>4</v>
      </c>
      <c r="J36" s="28">
        <v>1700</v>
      </c>
      <c r="K36" s="203">
        <f t="shared" si="0"/>
        <v>0</v>
      </c>
      <c r="L36" s="203">
        <f t="shared" si="1"/>
        <v>0</v>
      </c>
      <c r="M36" s="203">
        <f t="shared" si="2"/>
        <v>5000</v>
      </c>
      <c r="N36" s="203">
        <f t="shared" si="3"/>
        <v>0</v>
      </c>
      <c r="O36" s="203">
        <f t="shared" si="4"/>
        <v>5000</v>
      </c>
      <c r="P36" s="203">
        <f t="shared" si="5"/>
        <v>5000</v>
      </c>
    </row>
    <row r="37" spans="3:28" s="25" customFormat="1" ht="16" x14ac:dyDescent="0.45">
      <c r="C37" s="27" t="s">
        <v>65</v>
      </c>
      <c r="D37" s="103">
        <v>42221</v>
      </c>
      <c r="E37" s="27" t="s">
        <v>90</v>
      </c>
      <c r="F37" s="105" t="s">
        <v>314</v>
      </c>
      <c r="G37" s="27">
        <v>14</v>
      </c>
      <c r="H37" s="27" t="s">
        <v>25</v>
      </c>
      <c r="I37" s="27">
        <v>3</v>
      </c>
      <c r="J37" s="28">
        <v>3830</v>
      </c>
      <c r="K37" s="203">
        <f t="shared" si="0"/>
        <v>500</v>
      </c>
      <c r="L37" s="203">
        <f t="shared" si="1"/>
        <v>0</v>
      </c>
      <c r="M37" s="203">
        <f t="shared" si="2"/>
        <v>5000</v>
      </c>
      <c r="N37" s="203">
        <f t="shared" si="3"/>
        <v>200</v>
      </c>
      <c r="O37" s="203">
        <f t="shared" si="4"/>
        <v>0</v>
      </c>
      <c r="P37" s="203">
        <f t="shared" si="5"/>
        <v>5000</v>
      </c>
    </row>
    <row r="38" spans="3:28" s="25" customFormat="1" ht="16" x14ac:dyDescent="0.45">
      <c r="C38" s="27" t="s">
        <v>66</v>
      </c>
      <c r="D38" s="103">
        <v>40354</v>
      </c>
      <c r="E38" s="27" t="s">
        <v>91</v>
      </c>
      <c r="F38" s="105" t="s">
        <v>321</v>
      </c>
      <c r="G38" s="27">
        <v>12</v>
      </c>
      <c r="H38" s="27" t="s">
        <v>25</v>
      </c>
      <c r="I38" s="27">
        <v>4</v>
      </c>
      <c r="J38" s="28">
        <v>4600</v>
      </c>
      <c r="K38" s="203">
        <f t="shared" si="0"/>
        <v>500</v>
      </c>
      <c r="L38" s="203">
        <f t="shared" si="1"/>
        <v>0</v>
      </c>
      <c r="M38" s="203">
        <f t="shared" si="2"/>
        <v>5000</v>
      </c>
      <c r="N38" s="203">
        <f t="shared" si="3"/>
        <v>0</v>
      </c>
      <c r="O38" s="203">
        <f t="shared" si="4"/>
        <v>5000</v>
      </c>
      <c r="P38" s="203">
        <f t="shared" si="5"/>
        <v>5000</v>
      </c>
    </row>
    <row r="39" spans="3:28" s="25" customFormat="1" ht="16" x14ac:dyDescent="0.45">
      <c r="C39" s="27" t="s">
        <v>67</v>
      </c>
      <c r="D39" s="103">
        <v>37013</v>
      </c>
      <c r="E39" s="27" t="s">
        <v>92</v>
      </c>
      <c r="F39" s="105" t="s">
        <v>317</v>
      </c>
      <c r="G39" s="27">
        <v>11</v>
      </c>
      <c r="H39" s="27" t="s">
        <v>25</v>
      </c>
      <c r="I39" s="27">
        <v>2</v>
      </c>
      <c r="J39" s="28">
        <v>3246</v>
      </c>
      <c r="K39" s="203">
        <f t="shared" si="0"/>
        <v>500</v>
      </c>
      <c r="L39" s="203">
        <f t="shared" si="1"/>
        <v>0</v>
      </c>
      <c r="M39" s="203">
        <f t="shared" si="2"/>
        <v>5000</v>
      </c>
      <c r="N39" s="203">
        <f t="shared" si="3"/>
        <v>200</v>
      </c>
      <c r="O39" s="203">
        <f t="shared" si="4"/>
        <v>0</v>
      </c>
      <c r="P39" s="203">
        <f t="shared" si="5"/>
        <v>5000</v>
      </c>
    </row>
    <row r="40" spans="3:28" s="25" customFormat="1" ht="16" x14ac:dyDescent="0.45">
      <c r="C40" s="27" t="s">
        <v>68</v>
      </c>
      <c r="D40" s="103">
        <v>41728</v>
      </c>
      <c r="E40" s="27" t="s">
        <v>93</v>
      </c>
      <c r="F40" s="105" t="s">
        <v>321</v>
      </c>
      <c r="G40" s="27">
        <v>7</v>
      </c>
      <c r="H40" s="27" t="s">
        <v>27</v>
      </c>
      <c r="I40" s="27">
        <v>4</v>
      </c>
      <c r="J40" s="28">
        <v>12840</v>
      </c>
      <c r="K40" s="203">
        <f t="shared" si="0"/>
        <v>0</v>
      </c>
      <c r="L40" s="203">
        <f t="shared" si="1"/>
        <v>1926</v>
      </c>
      <c r="M40" s="203">
        <f t="shared" si="2"/>
        <v>0</v>
      </c>
      <c r="N40" s="203">
        <f t="shared" si="3"/>
        <v>0</v>
      </c>
      <c r="O40" s="203">
        <f t="shared" si="4"/>
        <v>0</v>
      </c>
      <c r="P40" s="203">
        <f t="shared" si="5"/>
        <v>5000</v>
      </c>
    </row>
    <row r="41" spans="3:28" ht="16" x14ac:dyDescent="0.45">
      <c r="C41" s="27" t="s">
        <v>69</v>
      </c>
      <c r="D41" s="103">
        <v>36868</v>
      </c>
      <c r="E41" s="27" t="s">
        <v>94</v>
      </c>
      <c r="F41" s="105" t="s">
        <v>320</v>
      </c>
      <c r="G41" s="27">
        <v>6</v>
      </c>
      <c r="H41" s="27" t="s">
        <v>78</v>
      </c>
      <c r="I41" s="27">
        <v>5</v>
      </c>
      <c r="J41" s="28">
        <v>4500</v>
      </c>
      <c r="K41" s="203">
        <f t="shared" si="0"/>
        <v>0</v>
      </c>
      <c r="L41" s="203">
        <f t="shared" si="1"/>
        <v>0</v>
      </c>
      <c r="M41" s="203">
        <f t="shared" si="2"/>
        <v>5000</v>
      </c>
      <c r="N41" s="203">
        <f t="shared" si="3"/>
        <v>350</v>
      </c>
      <c r="O41" s="203">
        <f t="shared" si="4"/>
        <v>0</v>
      </c>
      <c r="P41" s="203">
        <f t="shared" si="5"/>
        <v>5000</v>
      </c>
      <c r="Q41" s="25"/>
      <c r="R41" s="25"/>
      <c r="S41" s="25"/>
      <c r="T41" s="25"/>
      <c r="U41" s="25"/>
      <c r="V41" s="25"/>
      <c r="W41" s="25"/>
      <c r="X41" s="25"/>
      <c r="Y41" s="25"/>
      <c r="Z41" s="25"/>
      <c r="AA41" s="25"/>
      <c r="AB41" s="25"/>
    </row>
    <row r="42" spans="3:28" ht="16" x14ac:dyDescent="0.45">
      <c r="C42" s="27" t="s">
        <v>70</v>
      </c>
      <c r="D42" s="103">
        <v>41788</v>
      </c>
      <c r="E42" s="27" t="s">
        <v>95</v>
      </c>
      <c r="F42" s="105" t="s">
        <v>321</v>
      </c>
      <c r="G42" s="27">
        <v>10</v>
      </c>
      <c r="H42" s="27" t="s">
        <v>25</v>
      </c>
      <c r="I42" s="27">
        <v>1</v>
      </c>
      <c r="J42" s="28">
        <v>2500</v>
      </c>
      <c r="K42" s="203">
        <f t="shared" si="0"/>
        <v>500</v>
      </c>
      <c r="L42" s="203">
        <f t="shared" si="1"/>
        <v>0</v>
      </c>
      <c r="M42" s="203">
        <f t="shared" si="2"/>
        <v>5000</v>
      </c>
      <c r="N42" s="203">
        <f t="shared" si="3"/>
        <v>0</v>
      </c>
      <c r="O42" s="203">
        <f t="shared" si="4"/>
        <v>0</v>
      </c>
      <c r="P42" s="203">
        <f t="shared" si="5"/>
        <v>0</v>
      </c>
      <c r="Q42" s="25"/>
      <c r="V42" s="25"/>
      <c r="W42" s="25"/>
      <c r="X42" s="25"/>
      <c r="Y42" s="25"/>
      <c r="Z42" s="25"/>
      <c r="AA42" s="25"/>
      <c r="AB42" s="25"/>
    </row>
    <row r="43" spans="3:28" ht="16" x14ac:dyDescent="0.45">
      <c r="C43" s="27" t="s">
        <v>71</v>
      </c>
      <c r="D43" s="103">
        <v>41934</v>
      </c>
      <c r="E43" s="27" t="s">
        <v>96</v>
      </c>
      <c r="F43" s="105" t="s">
        <v>314</v>
      </c>
      <c r="G43" s="27">
        <v>20</v>
      </c>
      <c r="H43" s="27" t="s">
        <v>78</v>
      </c>
      <c r="I43" s="27">
        <v>3</v>
      </c>
      <c r="J43" s="28">
        <v>1700</v>
      </c>
      <c r="K43" s="203">
        <f t="shared" si="0"/>
        <v>0</v>
      </c>
      <c r="L43" s="203">
        <f t="shared" si="1"/>
        <v>0</v>
      </c>
      <c r="M43" s="203">
        <f t="shared" si="2"/>
        <v>5000</v>
      </c>
      <c r="N43" s="203">
        <f t="shared" si="3"/>
        <v>200</v>
      </c>
      <c r="O43" s="203">
        <f t="shared" si="4"/>
        <v>0</v>
      </c>
      <c r="P43" s="203">
        <f t="shared" si="5"/>
        <v>5000</v>
      </c>
      <c r="Q43" s="25"/>
      <c r="V43" s="25"/>
      <c r="W43" s="25"/>
      <c r="X43" s="25"/>
      <c r="Y43" s="25"/>
      <c r="Z43" s="25"/>
      <c r="AA43" s="25"/>
      <c r="AB43" s="25"/>
    </row>
    <row r="44" spans="3:28" ht="16" x14ac:dyDescent="0.45">
      <c r="C44" s="27" t="s">
        <v>72</v>
      </c>
      <c r="D44" s="103">
        <v>42567</v>
      </c>
      <c r="E44" s="27" t="s">
        <v>97</v>
      </c>
      <c r="F44" s="105" t="s">
        <v>314</v>
      </c>
      <c r="G44" s="27">
        <v>7</v>
      </c>
      <c r="H44" s="27" t="s">
        <v>78</v>
      </c>
      <c r="I44" s="27">
        <v>1</v>
      </c>
      <c r="J44" s="28">
        <v>1700</v>
      </c>
      <c r="K44" s="203">
        <f t="shared" si="0"/>
        <v>0</v>
      </c>
      <c r="L44" s="203">
        <f t="shared" si="1"/>
        <v>0</v>
      </c>
      <c r="M44" s="203">
        <f t="shared" si="2"/>
        <v>5000</v>
      </c>
      <c r="N44" s="203">
        <f t="shared" si="3"/>
        <v>0</v>
      </c>
      <c r="O44" s="203">
        <f t="shared" si="4"/>
        <v>0</v>
      </c>
      <c r="P44" s="203">
        <f t="shared" si="5"/>
        <v>0</v>
      </c>
      <c r="Q44" s="25"/>
      <c r="V44" s="25"/>
      <c r="W44" s="25"/>
      <c r="X44" s="25"/>
      <c r="Y44" s="25"/>
      <c r="Z44" s="25"/>
      <c r="AA44" s="25"/>
      <c r="AB44" s="25"/>
    </row>
    <row r="45" spans="3:28" ht="16" x14ac:dyDescent="0.45">
      <c r="C45" s="27" t="s">
        <v>73</v>
      </c>
      <c r="D45" s="103">
        <v>40415</v>
      </c>
      <c r="E45" s="27" t="s">
        <v>98</v>
      </c>
      <c r="F45" s="105" t="s">
        <v>316</v>
      </c>
      <c r="G45" s="27">
        <v>15</v>
      </c>
      <c r="H45" s="27" t="s">
        <v>27</v>
      </c>
      <c r="I45" s="27">
        <v>2</v>
      </c>
      <c r="J45" s="28">
        <v>2500</v>
      </c>
      <c r="K45" s="203">
        <f t="shared" si="0"/>
        <v>0</v>
      </c>
      <c r="L45" s="203">
        <f t="shared" si="1"/>
        <v>0</v>
      </c>
      <c r="M45" s="203">
        <f t="shared" si="2"/>
        <v>0</v>
      </c>
      <c r="N45" s="203">
        <f t="shared" si="3"/>
        <v>200</v>
      </c>
      <c r="O45" s="203">
        <f t="shared" si="4"/>
        <v>0</v>
      </c>
      <c r="P45" s="203">
        <f t="shared" si="5"/>
        <v>5000</v>
      </c>
      <c r="Q45" s="25"/>
      <c r="V45" s="25"/>
      <c r="W45" s="25"/>
      <c r="X45" s="25"/>
      <c r="Y45" s="25"/>
      <c r="Z45" s="25"/>
      <c r="AA45" s="25"/>
      <c r="AB45" s="25"/>
    </row>
    <row r="46" spans="3:28" ht="16" x14ac:dyDescent="0.45">
      <c r="C46" s="27" t="s">
        <v>74</v>
      </c>
      <c r="D46" s="103">
        <v>42256</v>
      </c>
      <c r="E46" s="27" t="s">
        <v>99</v>
      </c>
      <c r="F46" s="105" t="s">
        <v>320</v>
      </c>
      <c r="G46" s="27">
        <v>12</v>
      </c>
      <c r="H46" s="27" t="s">
        <v>25</v>
      </c>
      <c r="I46" s="27">
        <v>2</v>
      </c>
      <c r="J46" s="28">
        <v>2500</v>
      </c>
      <c r="K46" s="203">
        <f t="shared" si="0"/>
        <v>500</v>
      </c>
      <c r="L46" s="203">
        <f t="shared" si="1"/>
        <v>0</v>
      </c>
      <c r="M46" s="203">
        <f t="shared" si="2"/>
        <v>5000</v>
      </c>
      <c r="N46" s="203">
        <f t="shared" si="3"/>
        <v>200</v>
      </c>
      <c r="O46" s="203">
        <f t="shared" si="4"/>
        <v>0</v>
      </c>
      <c r="P46" s="203">
        <f t="shared" si="5"/>
        <v>5000</v>
      </c>
      <c r="Q46" s="25"/>
      <c r="V46" s="25"/>
      <c r="W46" s="25"/>
      <c r="X46" s="25"/>
      <c r="Y46" s="25"/>
      <c r="Z46" s="25"/>
      <c r="AA46" s="25"/>
      <c r="AB46" s="25"/>
    </row>
    <row r="47" spans="3:28" ht="16" x14ac:dyDescent="0.45">
      <c r="D47" s="143"/>
      <c r="K47" s="25"/>
      <c r="L47" s="25"/>
      <c r="M47" s="25"/>
      <c r="N47" s="25"/>
      <c r="O47" s="25"/>
      <c r="P47" s="25"/>
      <c r="Q47" s="25"/>
      <c r="V47" s="25"/>
      <c r="W47" s="25"/>
      <c r="X47" s="25"/>
      <c r="Y47" s="25"/>
      <c r="Z47" s="25"/>
      <c r="AA47" s="25"/>
      <c r="AB47" s="25"/>
    </row>
    <row r="48" spans="3:28" ht="16" x14ac:dyDescent="0.45">
      <c r="D48" s="143"/>
      <c r="K48" s="25"/>
      <c r="L48" s="25"/>
      <c r="M48" s="25"/>
      <c r="N48" s="25"/>
      <c r="O48" s="25"/>
      <c r="P48" s="25"/>
      <c r="Q48" s="25"/>
      <c r="V48" s="25"/>
      <c r="W48" s="25"/>
      <c r="X48" s="25"/>
      <c r="Y48" s="25"/>
      <c r="Z48" s="25"/>
      <c r="AA48" s="25"/>
      <c r="AB48" s="25"/>
    </row>
  </sheetData>
  <phoneticPr fontId="15"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68E75-565F-4B74-AA89-8934236F827B}">
  <sheetPr codeName="Sheet15"/>
  <dimension ref="A1:Y47"/>
  <sheetViews>
    <sheetView showGridLines="0" topLeftCell="K12" zoomScaleNormal="100" workbookViewId="0">
      <selection activeCell="M14" sqref="M14"/>
    </sheetView>
  </sheetViews>
  <sheetFormatPr defaultColWidth="9.1796875" defaultRowHeight="12" customHeight="1" x14ac:dyDescent="0.45"/>
  <cols>
    <col min="1" max="1" width="2.453125" style="196" customWidth="1"/>
    <col min="2" max="2" width="0.81640625" style="196" customWidth="1"/>
    <col min="3" max="3" width="9.453125" style="143" customWidth="1"/>
    <col min="4" max="4" width="16.26953125" style="215" bestFit="1" customWidth="1"/>
    <col min="5" max="5" width="17.81640625" style="143" customWidth="1"/>
    <col min="6" max="6" width="16.7265625" style="143" bestFit="1" customWidth="1"/>
    <col min="7" max="7" width="16.36328125" style="143" customWidth="1"/>
    <col min="8" max="8" width="18.36328125" style="143" customWidth="1"/>
    <col min="9" max="9" width="13.26953125" style="143" customWidth="1"/>
    <col min="10" max="10" width="10.81640625" style="143" customWidth="1"/>
    <col min="11" max="11" width="16.1796875" style="143" customWidth="1"/>
    <col min="12" max="12" width="20" style="143" customWidth="1"/>
    <col min="13" max="13" width="16.1796875" style="143" customWidth="1"/>
    <col min="14" max="14" width="11.453125" style="143" customWidth="1"/>
    <col min="15" max="15" width="3.7265625" style="143" customWidth="1"/>
    <col min="16" max="16" width="18.26953125" style="143" customWidth="1"/>
    <col min="17" max="17" width="15.453125" style="143" bestFit="1" customWidth="1"/>
    <col min="18" max="18" width="14.1796875" style="143" customWidth="1"/>
    <col min="19" max="19" width="17.54296875" style="143" customWidth="1"/>
    <col min="20" max="20" width="19" style="143" customWidth="1"/>
    <col min="21" max="21" width="15.453125" style="143" customWidth="1"/>
    <col min="22" max="22" width="13.26953125" style="143" customWidth="1"/>
    <col min="23" max="23" width="13.7265625" style="143" customWidth="1"/>
    <col min="24" max="24" width="16.26953125" style="143" customWidth="1"/>
    <col min="25" max="25" width="14.7265625" style="143" customWidth="1"/>
    <col min="26" max="16384" width="9.1796875" style="143"/>
  </cols>
  <sheetData>
    <row r="1" spans="2:25" s="25" customFormat="1" ht="16" x14ac:dyDescent="0.45"/>
    <row r="2" spans="2:25" s="25" customFormat="1" ht="16" x14ac:dyDescent="0.45">
      <c r="B2" s="126"/>
      <c r="C2" s="126"/>
      <c r="D2" s="126"/>
      <c r="E2" s="126"/>
      <c r="F2" s="126"/>
      <c r="G2" s="126"/>
      <c r="H2" s="126"/>
      <c r="I2" s="126"/>
      <c r="J2" s="126"/>
      <c r="K2" s="126"/>
      <c r="L2" s="126"/>
      <c r="M2" s="126"/>
      <c r="N2" s="126"/>
      <c r="O2" s="126"/>
      <c r="P2" s="126"/>
      <c r="Q2" s="126"/>
      <c r="R2" s="126"/>
      <c r="S2" s="126"/>
      <c r="T2" s="126"/>
      <c r="U2" s="126"/>
      <c r="V2" s="126"/>
      <c r="W2" s="126"/>
      <c r="X2" s="126"/>
      <c r="Y2" s="126"/>
    </row>
    <row r="3" spans="2:25" s="25" customFormat="1" ht="16" x14ac:dyDescent="0.45">
      <c r="B3" s="127" t="s">
        <v>326</v>
      </c>
      <c r="C3" s="128"/>
      <c r="D3" s="126"/>
      <c r="E3" s="126"/>
      <c r="F3" s="126"/>
      <c r="G3" s="126"/>
      <c r="H3" s="126"/>
      <c r="I3" s="126"/>
      <c r="J3" s="126"/>
      <c r="K3" s="126"/>
      <c r="L3" s="126"/>
      <c r="M3" s="126"/>
      <c r="N3" s="126"/>
      <c r="O3" s="126"/>
      <c r="P3" s="126"/>
      <c r="Q3" s="126"/>
      <c r="R3" s="126"/>
      <c r="S3" s="126"/>
      <c r="T3" s="126"/>
      <c r="U3" s="126"/>
      <c r="V3" s="126"/>
      <c r="W3" s="126"/>
      <c r="X3" s="126"/>
      <c r="Y3" s="126"/>
    </row>
    <row r="4" spans="2:25" s="25" customFormat="1" ht="16" x14ac:dyDescent="0.45">
      <c r="B4" s="128" t="s">
        <v>364</v>
      </c>
      <c r="C4" s="126"/>
      <c r="D4" s="126"/>
      <c r="E4" s="126"/>
      <c r="F4" s="126"/>
      <c r="G4" s="126"/>
      <c r="H4" s="126"/>
      <c r="I4" s="126"/>
      <c r="J4" s="126"/>
      <c r="K4" s="126"/>
      <c r="L4" s="126"/>
      <c r="M4" s="126"/>
      <c r="N4" s="126"/>
      <c r="O4" s="126"/>
      <c r="P4" s="126"/>
      <c r="Q4" s="126"/>
      <c r="R4" s="126"/>
      <c r="S4" s="126"/>
      <c r="T4" s="126"/>
      <c r="U4" s="126"/>
      <c r="V4" s="126"/>
      <c r="W4" s="126"/>
      <c r="X4" s="126"/>
      <c r="Y4" s="126"/>
    </row>
    <row r="5" spans="2:25" s="25" customFormat="1" ht="16" x14ac:dyDescent="0.45"/>
    <row r="7" spans="2:25" s="25" customFormat="1" ht="16" x14ac:dyDescent="0.45">
      <c r="B7" s="138"/>
      <c r="C7" s="126" t="s">
        <v>16</v>
      </c>
      <c r="D7" s="126"/>
      <c r="E7" s="126"/>
      <c r="F7" s="126"/>
      <c r="G7" s="126"/>
      <c r="H7" s="126"/>
      <c r="I7" s="143"/>
      <c r="J7" s="143"/>
      <c r="K7" s="143"/>
      <c r="L7" s="143"/>
      <c r="M7" s="143"/>
      <c r="N7" s="143"/>
    </row>
    <row r="8" spans="2:25" s="25" customFormat="1" ht="16" x14ac:dyDescent="0.45">
      <c r="J8" s="197"/>
      <c r="K8" s="197"/>
      <c r="L8" s="197"/>
      <c r="M8" s="197"/>
    </row>
    <row r="9" spans="2:25" s="25" customFormat="1" ht="16" x14ac:dyDescent="0.45">
      <c r="C9" s="198" t="s">
        <v>19</v>
      </c>
      <c r="D9" s="198"/>
      <c r="E9" s="198"/>
      <c r="F9" s="198"/>
      <c r="G9" s="198"/>
      <c r="H9" s="198"/>
      <c r="I9" s="198"/>
      <c r="J9" s="198"/>
      <c r="K9" s="232"/>
      <c r="L9" s="232"/>
      <c r="M9" s="232"/>
      <c r="O9" s="143"/>
      <c r="P9" s="199" t="s">
        <v>16</v>
      </c>
      <c r="Q9" s="200"/>
      <c r="R9" s="200"/>
      <c r="S9" s="200"/>
      <c r="T9" s="200"/>
      <c r="U9" s="200"/>
      <c r="V9" s="200"/>
      <c r="W9" s="200"/>
    </row>
    <row r="10" spans="2:25" s="25" customFormat="1" ht="6" customHeight="1" x14ac:dyDescent="0.45"/>
    <row r="11" spans="2:25" s="25" customFormat="1" ht="16" x14ac:dyDescent="0.45">
      <c r="C11" s="446" t="s">
        <v>39</v>
      </c>
      <c r="D11" s="447" t="s">
        <v>75</v>
      </c>
      <c r="E11" s="447" t="s">
        <v>20</v>
      </c>
      <c r="F11" s="447" t="s">
        <v>318</v>
      </c>
      <c r="G11" s="447" t="s">
        <v>76</v>
      </c>
      <c r="H11" s="447" t="s">
        <v>77</v>
      </c>
      <c r="I11" s="447" t="s">
        <v>21</v>
      </c>
      <c r="J11" s="447" t="s">
        <v>22</v>
      </c>
      <c r="K11" s="469" t="s">
        <v>710</v>
      </c>
      <c r="L11" s="469" t="s">
        <v>711</v>
      </c>
      <c r="M11" s="470" t="s">
        <v>712</v>
      </c>
      <c r="P11" s="201" t="s">
        <v>311</v>
      </c>
      <c r="Q11" s="143"/>
      <c r="R11" s="143"/>
      <c r="S11" s="143"/>
      <c r="T11" s="143"/>
      <c r="U11" s="143"/>
      <c r="V11" s="143"/>
      <c r="W11" s="143"/>
      <c r="X11" s="202"/>
    </row>
    <row r="12" spans="2:25" s="25" customFormat="1" ht="16" x14ac:dyDescent="0.45">
      <c r="C12" s="445" t="s">
        <v>40</v>
      </c>
      <c r="D12" s="103">
        <v>36566</v>
      </c>
      <c r="E12" s="27" t="s">
        <v>23</v>
      </c>
      <c r="F12" s="105" t="s">
        <v>321</v>
      </c>
      <c r="G12" s="27">
        <v>13</v>
      </c>
      <c r="H12" s="27" t="s">
        <v>25</v>
      </c>
      <c r="I12" s="27">
        <v>4</v>
      </c>
      <c r="J12" s="28">
        <v>24016</v>
      </c>
      <c r="K12" s="293">
        <f>VLOOKUP(Lookup[[#This Row],[Salary]],P$41:Q$46,2,TRUE)</f>
        <v>0.1</v>
      </c>
      <c r="L12" s="293">
        <f>INDEX(Q$41:Q$46,MATCH(Lookup[[#This Row],[Salary]],P$41:P$46,1))</f>
        <v>0.1</v>
      </c>
      <c r="M12" s="468">
        <f>_xlfn.XLOOKUP(Lookup[[#This Row],[Salary]],P$41:P$46,Q$41:Q$46,,-1)</f>
        <v>0.1</v>
      </c>
      <c r="P12" s="143"/>
      <c r="Q12" s="143"/>
      <c r="R12" s="143"/>
      <c r="S12" s="143"/>
      <c r="T12" s="143"/>
      <c r="U12" s="143"/>
      <c r="V12" s="143"/>
      <c r="W12" s="143"/>
      <c r="X12" s="202"/>
    </row>
    <row r="13" spans="2:25" s="25" customFormat="1" ht="16" x14ac:dyDescent="0.45">
      <c r="C13" s="445" t="s">
        <v>41</v>
      </c>
      <c r="D13" s="103">
        <v>37466</v>
      </c>
      <c r="E13" s="27" t="s">
        <v>24</v>
      </c>
      <c r="F13" s="105" t="s">
        <v>316</v>
      </c>
      <c r="G13" s="27">
        <v>14</v>
      </c>
      <c r="H13" s="27" t="s">
        <v>25</v>
      </c>
      <c r="I13" s="27">
        <v>3</v>
      </c>
      <c r="J13" s="28">
        <v>20160</v>
      </c>
      <c r="K13" s="293">
        <f>VLOOKUP(Lookup[[#This Row],[Salary]],P$41:Q$46,2,TRUE)</f>
        <v>0.1</v>
      </c>
      <c r="L13" s="293">
        <f>INDEX(Q$41:Q$46,MATCH(Lookup[[#This Row],[Salary]],P$41:P$46,1))</f>
        <v>0.1</v>
      </c>
      <c r="M13" s="468">
        <f>_xlfn.XLOOKUP(Lookup[[#This Row],[Salary]],P$41:P$46,Q$41:Q$46,,-1)</f>
        <v>0.1</v>
      </c>
      <c r="O13" s="25" t="s">
        <v>14</v>
      </c>
      <c r="P13" s="126" t="s">
        <v>713</v>
      </c>
      <c r="Q13" s="126"/>
      <c r="R13" s="126"/>
      <c r="S13" s="126"/>
      <c r="T13" s="126"/>
      <c r="U13" s="126"/>
      <c r="V13" s="294"/>
      <c r="W13" s="295"/>
    </row>
    <row r="14" spans="2:25" s="25" customFormat="1" ht="16" x14ac:dyDescent="0.45">
      <c r="C14" s="445" t="s">
        <v>42</v>
      </c>
      <c r="D14" s="103">
        <v>39960</v>
      </c>
      <c r="E14" s="27" t="s">
        <v>26</v>
      </c>
      <c r="F14" s="105" t="s">
        <v>319</v>
      </c>
      <c r="G14" s="27">
        <v>19</v>
      </c>
      <c r="H14" s="27" t="s">
        <v>25</v>
      </c>
      <c r="I14" s="27">
        <v>2</v>
      </c>
      <c r="J14" s="28">
        <v>7014</v>
      </c>
      <c r="K14" s="293">
        <f>VLOOKUP(Lookup[[#This Row],[Salary]],P$41:Q$46,2,TRUE)</f>
        <v>7.0000000000000007E-2</v>
      </c>
      <c r="L14" s="293">
        <f>INDEX(Q$41:Q$46,MATCH(Lookup[[#This Row],[Salary]],P$41:P$46,1))</f>
        <v>7.0000000000000007E-2</v>
      </c>
      <c r="M14" s="468">
        <f>_xlfn.XLOOKUP(Lookup[[#This Row],[Salary]],P$41:P$46,Q$41:Q$46,,-1)</f>
        <v>7.0000000000000007E-2</v>
      </c>
      <c r="V14" s="206"/>
    </row>
    <row r="15" spans="2:25" s="25" customFormat="1" ht="16" x14ac:dyDescent="0.45">
      <c r="C15" s="445" t="s">
        <v>43</v>
      </c>
      <c r="D15" s="103">
        <v>39210</v>
      </c>
      <c r="E15" s="27" t="s">
        <v>28</v>
      </c>
      <c r="F15" s="105" t="s">
        <v>314</v>
      </c>
      <c r="G15" s="27">
        <v>14</v>
      </c>
      <c r="H15" s="27" t="s">
        <v>25</v>
      </c>
      <c r="I15" s="27">
        <v>4</v>
      </c>
      <c r="J15" s="28">
        <v>8554</v>
      </c>
      <c r="K15" s="293">
        <f>VLOOKUP(Lookup[[#This Row],[Salary]],P$41:Q$46,2,TRUE)</f>
        <v>7.0000000000000007E-2</v>
      </c>
      <c r="L15" s="293">
        <f>INDEX(Q$41:Q$46,MATCH(Lookup[[#This Row],[Salary]],P$41:P$46,1))</f>
        <v>7.0000000000000007E-2</v>
      </c>
      <c r="M15" s="468">
        <f>_xlfn.XLOOKUP(Lookup[[#This Row],[Salary]],P$41:P$46,Q$41:Q$46,,-1)</f>
        <v>7.0000000000000007E-2</v>
      </c>
      <c r="P15" s="25" t="s">
        <v>720</v>
      </c>
      <c r="V15" s="206"/>
    </row>
    <row r="16" spans="2:25" s="25" customFormat="1" ht="16" x14ac:dyDescent="0.45">
      <c r="C16" s="445" t="s">
        <v>44</v>
      </c>
      <c r="D16" s="103">
        <v>40495</v>
      </c>
      <c r="E16" s="27" t="s">
        <v>29</v>
      </c>
      <c r="F16" s="105" t="s">
        <v>315</v>
      </c>
      <c r="G16" s="27">
        <v>15</v>
      </c>
      <c r="H16" s="27" t="s">
        <v>25</v>
      </c>
      <c r="I16" s="27">
        <v>3</v>
      </c>
      <c r="J16" s="28">
        <v>8508</v>
      </c>
      <c r="K16" s="293">
        <f>VLOOKUP(Lookup[[#This Row],[Salary]],P$41:Q$46,2,TRUE)</f>
        <v>7.0000000000000007E-2</v>
      </c>
      <c r="L16" s="293">
        <f>INDEX(Q$41:Q$46,MATCH(Lookup[[#This Row],[Salary]],P$41:P$46,1))</f>
        <v>7.0000000000000007E-2</v>
      </c>
      <c r="M16" s="468">
        <f>_xlfn.XLOOKUP(Lookup[[#This Row],[Salary]],P$41:P$46,Q$41:Q$46,,-1)</f>
        <v>7.0000000000000007E-2</v>
      </c>
      <c r="V16" s="206"/>
    </row>
    <row r="17" spans="3:22" s="25" customFormat="1" ht="16" x14ac:dyDescent="0.45">
      <c r="C17" s="445" t="s">
        <v>45</v>
      </c>
      <c r="D17" s="103">
        <v>40970</v>
      </c>
      <c r="E17" s="27" t="s">
        <v>30</v>
      </c>
      <c r="F17" s="105" t="s">
        <v>316</v>
      </c>
      <c r="G17" s="27">
        <v>9</v>
      </c>
      <c r="H17" s="27" t="s">
        <v>27</v>
      </c>
      <c r="I17" s="27">
        <v>2</v>
      </c>
      <c r="J17" s="28">
        <v>9568</v>
      </c>
      <c r="K17" s="293">
        <f>VLOOKUP(Lookup[[#This Row],[Salary]],P$41:Q$46,2,TRUE)</f>
        <v>7.0000000000000007E-2</v>
      </c>
      <c r="L17" s="293">
        <f>INDEX(Q$41:Q$46,MATCH(Lookup[[#This Row],[Salary]],P$41:P$46,1))</f>
        <v>7.0000000000000007E-2</v>
      </c>
      <c r="M17" s="468">
        <f>_xlfn.XLOOKUP(Lookup[[#This Row],[Salary]],P$41:P$46,Q$41:Q$46,,-1)</f>
        <v>7.0000000000000007E-2</v>
      </c>
    </row>
    <row r="18" spans="3:22" s="25" customFormat="1" ht="16" x14ac:dyDescent="0.45">
      <c r="C18" s="445" t="s">
        <v>46</v>
      </c>
      <c r="D18" s="103">
        <v>41695</v>
      </c>
      <c r="E18" s="27" t="s">
        <v>31</v>
      </c>
      <c r="F18" s="105" t="s">
        <v>316</v>
      </c>
      <c r="G18" s="27">
        <v>5</v>
      </c>
      <c r="H18" s="27" t="s">
        <v>78</v>
      </c>
      <c r="I18" s="27">
        <v>3</v>
      </c>
      <c r="J18" s="28">
        <v>3004</v>
      </c>
      <c r="K18" s="293">
        <f>VLOOKUP(Lookup[[#This Row],[Salary]],P$41:Q$46,2,TRUE)</f>
        <v>0.06</v>
      </c>
      <c r="L18" s="293">
        <f>INDEX(Q$41:Q$46,MATCH(Lookup[[#This Row],[Salary]],P$41:P$46,1))</f>
        <v>0.06</v>
      </c>
      <c r="M18" s="468">
        <f>_xlfn.XLOOKUP(Lookup[[#This Row],[Salary]],P$41:P$46,Q$41:Q$46,,-1)</f>
        <v>0.06</v>
      </c>
      <c r="P18" s="5" t="s">
        <v>716</v>
      </c>
      <c r="R18" s="285" t="s">
        <v>39</v>
      </c>
      <c r="S18" s="285" t="s">
        <v>20</v>
      </c>
      <c r="T18" s="285" t="s">
        <v>75</v>
      </c>
      <c r="U18" s="285" t="s">
        <v>318</v>
      </c>
      <c r="V18" s="285" t="s">
        <v>22</v>
      </c>
    </row>
    <row r="19" spans="3:22" s="25" customFormat="1" ht="16" x14ac:dyDescent="0.45">
      <c r="C19" s="445" t="s">
        <v>47</v>
      </c>
      <c r="D19" s="103">
        <v>38967</v>
      </c>
      <c r="E19" s="27" t="s">
        <v>32</v>
      </c>
      <c r="F19" s="105" t="s">
        <v>316</v>
      </c>
      <c r="G19" s="27">
        <v>10</v>
      </c>
      <c r="H19" s="27" t="s">
        <v>25</v>
      </c>
      <c r="I19" s="27">
        <v>3</v>
      </c>
      <c r="J19" s="28">
        <v>7960</v>
      </c>
      <c r="K19" s="293">
        <f>VLOOKUP(Lookup[[#This Row],[Salary]],P$41:Q$46,2,TRUE)</f>
        <v>7.0000000000000007E-2</v>
      </c>
      <c r="L19" s="293">
        <f>INDEX(Q$41:Q$46,MATCH(Lookup[[#This Row],[Salary]],P$41:P$46,1))</f>
        <v>7.0000000000000007E-2</v>
      </c>
      <c r="M19" s="468">
        <f>_xlfn.XLOOKUP(Lookup[[#This Row],[Salary]],P$41:P$46,Q$41:Q$46,,-1)</f>
        <v>7.0000000000000007E-2</v>
      </c>
      <c r="P19" s="3"/>
      <c r="R19" s="286" t="s">
        <v>44</v>
      </c>
      <c r="S19" s="296" t="str">
        <f>VLOOKUP(R19,Lookup[#All],3)</f>
        <v>Francisca Obeng</v>
      </c>
      <c r="T19" s="480">
        <f>VLOOKUP(R19,Lookup[#All],2)</f>
        <v>40495</v>
      </c>
      <c r="U19" s="296" t="str">
        <f>VLOOKUP(R19,Lookup[#All],4)</f>
        <v>Accounts</v>
      </c>
      <c r="V19" s="296">
        <f>VLOOKUP(R19,Lookup[],8)</f>
        <v>8508</v>
      </c>
    </row>
    <row r="20" spans="3:22" s="25" customFormat="1" ht="16" x14ac:dyDescent="0.45">
      <c r="C20" s="445" t="s">
        <v>48</v>
      </c>
      <c r="D20" s="103">
        <v>36708</v>
      </c>
      <c r="E20" s="27" t="s">
        <v>33</v>
      </c>
      <c r="F20" s="105" t="s">
        <v>312</v>
      </c>
      <c r="G20" s="27">
        <v>14</v>
      </c>
      <c r="H20" s="27" t="s">
        <v>25</v>
      </c>
      <c r="I20" s="27">
        <v>1</v>
      </c>
      <c r="J20" s="28">
        <v>5562</v>
      </c>
      <c r="K20" s="293">
        <f>VLOOKUP(Lookup[[#This Row],[Salary]],P$41:Q$46,2,TRUE)</f>
        <v>7.0000000000000007E-2</v>
      </c>
      <c r="L20" s="293">
        <f>INDEX(Q$41:Q$46,MATCH(Lookup[[#This Row],[Salary]],P$41:P$46,1))</f>
        <v>7.0000000000000007E-2</v>
      </c>
      <c r="M20" s="468">
        <f>_xlfn.XLOOKUP(Lookup[[#This Row],[Salary]],P$41:P$46,Q$41:Q$46,,-1)</f>
        <v>7.0000000000000007E-2</v>
      </c>
      <c r="N20" s="207"/>
      <c r="P20" s="3"/>
      <c r="R20" s="286" t="s">
        <v>52</v>
      </c>
      <c r="S20" s="296" t="str">
        <f>VLOOKUP(R20,Lookup[#All],3)</f>
        <v>Cecilia Esi</v>
      </c>
      <c r="T20" s="480">
        <f>VLOOKUP(R20,Lookup[#All],2)</f>
        <v>39017</v>
      </c>
      <c r="U20" s="296" t="str">
        <f>VLOOKUP(R20,Lookup[#All],4)</f>
        <v>TOS</v>
      </c>
      <c r="V20" s="296">
        <f>VLOOKUP(R20,Lookup[],8)</f>
        <v>9428</v>
      </c>
    </row>
    <row r="21" spans="3:22" s="25" customFormat="1" ht="16" x14ac:dyDescent="0.45">
      <c r="C21" s="445" t="s">
        <v>49</v>
      </c>
      <c r="D21" s="103">
        <v>38051</v>
      </c>
      <c r="E21" s="27" t="s">
        <v>34</v>
      </c>
      <c r="F21" s="105" t="s">
        <v>320</v>
      </c>
      <c r="G21" s="27">
        <v>10</v>
      </c>
      <c r="H21" s="27" t="s">
        <v>25</v>
      </c>
      <c r="I21" s="27">
        <v>1</v>
      </c>
      <c r="J21" s="28">
        <v>5640</v>
      </c>
      <c r="K21" s="293">
        <f>VLOOKUP(Lookup[[#This Row],[Salary]],P$41:Q$46,2,TRUE)</f>
        <v>7.0000000000000007E-2</v>
      </c>
      <c r="L21" s="293">
        <f>INDEX(Q$41:Q$46,MATCH(Lookup[[#This Row],[Salary]],P$41:P$46,1))</f>
        <v>7.0000000000000007E-2</v>
      </c>
      <c r="M21" s="468">
        <f>_xlfn.XLOOKUP(Lookup[[#This Row],[Salary]],P$41:P$46,Q$41:Q$46,,-1)</f>
        <v>7.0000000000000007E-2</v>
      </c>
      <c r="N21" s="207"/>
      <c r="P21" s="1"/>
      <c r="R21" s="286" t="s">
        <v>56</v>
      </c>
      <c r="S21" s="296" t="str">
        <f>VLOOKUP(R21,Lookup[#All],3)</f>
        <v>Lovelyn Bentil</v>
      </c>
      <c r="T21" s="480">
        <f>VLOOKUP(R21,Lookup[#All],2)</f>
        <v>37217</v>
      </c>
      <c r="U21" s="296" t="str">
        <f>VLOOKUP(R21,Lookup[#All],4)</f>
        <v>Operations</v>
      </c>
      <c r="V21" s="296">
        <f>VLOOKUP(R21,Lookup[],8)</f>
        <v>2500</v>
      </c>
    </row>
    <row r="22" spans="3:22" s="25" customFormat="1" ht="16" x14ac:dyDescent="0.45">
      <c r="C22" s="445" t="s">
        <v>50</v>
      </c>
      <c r="D22" s="103">
        <v>40422</v>
      </c>
      <c r="E22" s="27" t="s">
        <v>35</v>
      </c>
      <c r="F22" s="105" t="s">
        <v>316</v>
      </c>
      <c r="G22" s="27">
        <v>10</v>
      </c>
      <c r="H22" s="27" t="s">
        <v>25</v>
      </c>
      <c r="I22" s="27">
        <v>3</v>
      </c>
      <c r="J22" s="28">
        <v>3512</v>
      </c>
      <c r="K22" s="293">
        <f>VLOOKUP(Lookup[[#This Row],[Salary]],P$41:Q$46,2,TRUE)</f>
        <v>0.06</v>
      </c>
      <c r="L22" s="293">
        <f>INDEX(Q$41:Q$46,MATCH(Lookup[[#This Row],[Salary]],P$41:P$46,1))</f>
        <v>0.06</v>
      </c>
      <c r="M22" s="468">
        <f>_xlfn.XLOOKUP(Lookup[[#This Row],[Salary]],P$41:P$46,Q$41:Q$46,,-1)</f>
        <v>0.06</v>
      </c>
    </row>
    <row r="23" spans="3:22" s="25" customFormat="1" ht="16" x14ac:dyDescent="0.45">
      <c r="C23" s="445" t="s">
        <v>51</v>
      </c>
      <c r="D23" s="103">
        <v>41235</v>
      </c>
      <c r="E23" s="27" t="s">
        <v>36</v>
      </c>
      <c r="F23" s="105" t="s">
        <v>314</v>
      </c>
      <c r="G23" s="27">
        <v>9</v>
      </c>
      <c r="H23" s="27" t="s">
        <v>78</v>
      </c>
      <c r="I23" s="27">
        <v>1</v>
      </c>
      <c r="J23" s="28">
        <v>4020</v>
      </c>
      <c r="K23" s="293">
        <f>VLOOKUP(Lookup[[#This Row],[Salary]],P$41:Q$46,2,TRUE)</f>
        <v>0.06</v>
      </c>
      <c r="L23" s="293">
        <f>INDEX(Q$41:Q$46,MATCH(Lookup[[#This Row],[Salary]],P$41:P$46,1))</f>
        <v>0.06</v>
      </c>
      <c r="M23" s="468">
        <f>_xlfn.XLOOKUP(Lookup[[#This Row],[Salary]],P$41:P$46,Q$41:Q$46,,-1)</f>
        <v>0.06</v>
      </c>
    </row>
    <row r="24" spans="3:22" s="25" customFormat="1" ht="16" x14ac:dyDescent="0.45">
      <c r="C24" s="445" t="s">
        <v>52</v>
      </c>
      <c r="D24" s="103">
        <v>39017</v>
      </c>
      <c r="E24" s="27" t="s">
        <v>37</v>
      </c>
      <c r="F24" s="105" t="s">
        <v>321</v>
      </c>
      <c r="G24" s="27">
        <v>10</v>
      </c>
      <c r="H24" s="27" t="s">
        <v>27</v>
      </c>
      <c r="I24" s="27">
        <v>5</v>
      </c>
      <c r="J24" s="28">
        <v>9428</v>
      </c>
      <c r="K24" s="293">
        <f>VLOOKUP(Lookup[[#This Row],[Salary]],P$41:Q$46,2,TRUE)</f>
        <v>7.0000000000000007E-2</v>
      </c>
      <c r="L24" s="293">
        <f>INDEX(Q$41:Q$46,MATCH(Lookup[[#This Row],[Salary]],P$41:P$46,1))</f>
        <v>7.0000000000000007E-2</v>
      </c>
      <c r="M24" s="468">
        <f>_xlfn.XLOOKUP(Lookup[[#This Row],[Salary]],P$41:P$46,Q$41:Q$46,,-1)</f>
        <v>7.0000000000000007E-2</v>
      </c>
      <c r="P24" s="5" t="s">
        <v>718</v>
      </c>
      <c r="R24" s="285" t="s">
        <v>39</v>
      </c>
      <c r="S24" s="285" t="s">
        <v>20</v>
      </c>
      <c r="T24" s="285" t="s">
        <v>75</v>
      </c>
      <c r="U24" s="285" t="s">
        <v>318</v>
      </c>
      <c r="V24" s="285" t="s">
        <v>22</v>
      </c>
    </row>
    <row r="25" spans="3:22" s="25" customFormat="1" ht="16" x14ac:dyDescent="0.45">
      <c r="C25" s="445" t="s">
        <v>53</v>
      </c>
      <c r="D25" s="103">
        <v>40201</v>
      </c>
      <c r="E25" s="27" t="s">
        <v>38</v>
      </c>
      <c r="F25" s="105" t="s">
        <v>313</v>
      </c>
      <c r="G25" s="27">
        <v>6</v>
      </c>
      <c r="H25" s="27" t="s">
        <v>25</v>
      </c>
      <c r="I25" s="27">
        <v>5</v>
      </c>
      <c r="J25" s="28">
        <v>12124</v>
      </c>
      <c r="K25" s="293">
        <f>VLOOKUP(Lookup[[#This Row],[Salary]],P$41:Q$46,2,TRUE)</f>
        <v>0.08</v>
      </c>
      <c r="L25" s="293">
        <f>INDEX(Q$41:Q$46,MATCH(Lookup[[#This Row],[Salary]],P$41:P$46,1))</f>
        <v>0.08</v>
      </c>
      <c r="M25" s="468">
        <f>_xlfn.XLOOKUP(Lookup[[#This Row],[Salary]],P$41:P$46,Q$41:Q$46,,-1)</f>
        <v>0.08</v>
      </c>
      <c r="P25" s="3"/>
      <c r="R25" s="286" t="s">
        <v>44</v>
      </c>
      <c r="S25" s="296" t="str" cm="1">
        <f t="array" ref="S25:S27">INDEX(Lookup[Employee Name],MATCH(R25:R27,Lookup[Staff ID],0))</f>
        <v>Francisca Obeng</v>
      </c>
      <c r="T25" s="475" cm="1">
        <f t="array" ref="T25:T27">INDEX(Lookup[Date Employed],MATCH(R25:R27,Lookup[Staff ID],0))</f>
        <v>40495</v>
      </c>
      <c r="U25" s="296" t="str" cm="1">
        <f t="array" ref="U25:U27">INDEX(Lookup[Department],MATCH(R25:R27,Lookup[Staff ID],0))</f>
        <v>Accounts</v>
      </c>
      <c r="V25" s="476" cm="1">
        <f t="array" ref="V25:V27">INDEX(Lookup[Salary],MATCH(R25:R27,Lookup[Staff ID],0))</f>
        <v>8508</v>
      </c>
    </row>
    <row r="26" spans="3:22" s="25" customFormat="1" ht="16" x14ac:dyDescent="0.45">
      <c r="C26" s="445" t="s">
        <v>54</v>
      </c>
      <c r="D26" s="103">
        <v>41543</v>
      </c>
      <c r="E26" s="27" t="s">
        <v>79</v>
      </c>
      <c r="F26" s="105" t="s">
        <v>312</v>
      </c>
      <c r="G26" s="27">
        <v>13</v>
      </c>
      <c r="H26" s="27" t="s">
        <v>78</v>
      </c>
      <c r="I26" s="27">
        <v>2</v>
      </c>
      <c r="J26" s="28">
        <v>1700</v>
      </c>
      <c r="K26" s="293">
        <f>VLOOKUP(Lookup[[#This Row],[Salary]],P$41:Q$46,2,TRUE)</f>
        <v>4.4999999999999998E-2</v>
      </c>
      <c r="L26" s="293">
        <f>INDEX(Q$41:Q$46,MATCH(Lookup[[#This Row],[Salary]],P$41:P$46,1))</f>
        <v>4.4999999999999998E-2</v>
      </c>
      <c r="M26" s="468">
        <f>_xlfn.XLOOKUP(Lookup[[#This Row],[Salary]],P$41:P$46,Q$41:Q$46,,-1)</f>
        <v>4.4999999999999998E-2</v>
      </c>
      <c r="P26" s="3"/>
      <c r="R26" s="286" t="s">
        <v>52</v>
      </c>
      <c r="S26" s="296" t="str">
        <v>Cecilia Esi</v>
      </c>
      <c r="T26" s="475">
        <v>39017</v>
      </c>
      <c r="U26" s="296" t="str">
        <v>TOS</v>
      </c>
      <c r="V26" s="476">
        <v>9428</v>
      </c>
    </row>
    <row r="27" spans="3:22" s="25" customFormat="1" ht="16" x14ac:dyDescent="0.45">
      <c r="C27" s="445" t="s">
        <v>55</v>
      </c>
      <c r="D27" s="103">
        <v>37643</v>
      </c>
      <c r="E27" s="27" t="s">
        <v>80</v>
      </c>
      <c r="F27" s="105" t="s">
        <v>321</v>
      </c>
      <c r="G27" s="27">
        <v>8</v>
      </c>
      <c r="H27" s="27" t="s">
        <v>78</v>
      </c>
      <c r="I27" s="27">
        <v>3</v>
      </c>
      <c r="J27" s="28">
        <v>3250</v>
      </c>
      <c r="K27" s="293">
        <f>VLOOKUP(Lookup[[#This Row],[Salary]],P$41:Q$46,2,TRUE)</f>
        <v>0.06</v>
      </c>
      <c r="L27" s="293">
        <f>INDEX(Q$41:Q$46,MATCH(Lookup[[#This Row],[Salary]],P$41:P$46,1))</f>
        <v>0.06</v>
      </c>
      <c r="M27" s="468">
        <f>_xlfn.XLOOKUP(Lookup[[#This Row],[Salary]],P$41:P$46,Q$41:Q$46,,-1)</f>
        <v>0.06</v>
      </c>
      <c r="P27" s="1"/>
      <c r="R27" s="286" t="s">
        <v>56</v>
      </c>
      <c r="S27" s="296" t="str">
        <v>Lovelyn Bentil</v>
      </c>
      <c r="T27" s="475">
        <v>37217</v>
      </c>
      <c r="U27" s="296" t="str">
        <v>Operations</v>
      </c>
      <c r="V27" s="476">
        <v>2500</v>
      </c>
    </row>
    <row r="28" spans="3:22" s="25" customFormat="1" ht="16" x14ac:dyDescent="0.45">
      <c r="C28" s="445" t="s">
        <v>56</v>
      </c>
      <c r="D28" s="103">
        <v>37217</v>
      </c>
      <c r="E28" s="27" t="s">
        <v>81</v>
      </c>
      <c r="F28" s="105" t="s">
        <v>316</v>
      </c>
      <c r="G28" s="27">
        <v>12</v>
      </c>
      <c r="H28" s="27" t="s">
        <v>27</v>
      </c>
      <c r="I28" s="27">
        <v>2</v>
      </c>
      <c r="J28" s="28">
        <v>2500</v>
      </c>
      <c r="K28" s="293">
        <f>VLOOKUP(Lookup[[#This Row],[Salary]],P$41:Q$46,2,TRUE)</f>
        <v>0.06</v>
      </c>
      <c r="L28" s="293">
        <f>INDEX(Q$41:Q$46,MATCH(Lookup[[#This Row],[Salary]],P$41:P$46,1))</f>
        <v>0.06</v>
      </c>
      <c r="M28" s="468">
        <f>_xlfn.XLOOKUP(Lookup[[#This Row],[Salary]],P$41:P$46,Q$41:Q$46,,-1)</f>
        <v>0.06</v>
      </c>
    </row>
    <row r="29" spans="3:22" s="25" customFormat="1" ht="16" x14ac:dyDescent="0.45">
      <c r="C29" s="445" t="s">
        <v>57</v>
      </c>
      <c r="D29" s="103">
        <v>42289</v>
      </c>
      <c r="E29" s="27" t="s">
        <v>82</v>
      </c>
      <c r="F29" s="105" t="s">
        <v>320</v>
      </c>
      <c r="G29" s="27">
        <v>15</v>
      </c>
      <c r="H29" s="27" t="s">
        <v>78</v>
      </c>
      <c r="I29" s="27">
        <v>2</v>
      </c>
      <c r="J29" s="28">
        <v>1236</v>
      </c>
      <c r="K29" s="293">
        <f>VLOOKUP(Lookup[[#This Row],[Salary]],P$41:Q$46,2,TRUE)</f>
        <v>4.4999999999999998E-2</v>
      </c>
      <c r="L29" s="293">
        <f>INDEX(Q$41:Q$46,MATCH(Lookup[[#This Row],[Salary]],P$41:P$46,1))</f>
        <v>4.4999999999999998E-2</v>
      </c>
      <c r="M29" s="468">
        <f>_xlfn.XLOOKUP(Lookup[[#This Row],[Salary]],P$41:P$46,Q$41:Q$46,,-1)</f>
        <v>4.4999999999999998E-2</v>
      </c>
    </row>
    <row r="30" spans="3:22" s="25" customFormat="1" ht="16" x14ac:dyDescent="0.45">
      <c r="C30" s="445" t="s">
        <v>58</v>
      </c>
      <c r="D30" s="103">
        <v>41687</v>
      </c>
      <c r="E30" s="27" t="s">
        <v>83</v>
      </c>
      <c r="F30" s="105" t="s">
        <v>317</v>
      </c>
      <c r="G30" s="27">
        <v>5</v>
      </c>
      <c r="H30" s="27" t="s">
        <v>78</v>
      </c>
      <c r="I30" s="27">
        <v>5</v>
      </c>
      <c r="J30" s="28">
        <v>1700</v>
      </c>
      <c r="K30" s="293">
        <f>VLOOKUP(Lookup[[#This Row],[Salary]],P$41:Q$46,2,TRUE)</f>
        <v>4.4999999999999998E-2</v>
      </c>
      <c r="L30" s="293">
        <f>INDEX(Q$41:Q$46,MATCH(Lookup[[#This Row],[Salary]],P$41:P$46,1))</f>
        <v>4.4999999999999998E-2</v>
      </c>
      <c r="M30" s="468">
        <f>_xlfn.XLOOKUP(Lookup[[#This Row],[Salary]],P$41:P$46,Q$41:Q$46,,-1)</f>
        <v>4.4999999999999998E-2</v>
      </c>
      <c r="P30" s="5" t="s">
        <v>717</v>
      </c>
      <c r="R30" s="285" t="s">
        <v>39</v>
      </c>
      <c r="S30" s="285" t="s">
        <v>20</v>
      </c>
      <c r="T30" s="285" t="s">
        <v>75</v>
      </c>
      <c r="U30" s="285" t="s">
        <v>318</v>
      </c>
      <c r="V30" s="285" t="s">
        <v>22</v>
      </c>
    </row>
    <row r="31" spans="3:22" s="25" customFormat="1" ht="16" x14ac:dyDescent="0.45">
      <c r="C31" s="445" t="s">
        <v>59</v>
      </c>
      <c r="D31" s="103">
        <v>38292</v>
      </c>
      <c r="E31" s="27" t="s">
        <v>84</v>
      </c>
      <c r="F31" s="105" t="s">
        <v>320</v>
      </c>
      <c r="G31" s="27">
        <v>14</v>
      </c>
      <c r="H31" s="27" t="s">
        <v>25</v>
      </c>
      <c r="I31" s="27">
        <v>4</v>
      </c>
      <c r="J31" s="28">
        <v>12640</v>
      </c>
      <c r="K31" s="293">
        <f>VLOOKUP(Lookup[[#This Row],[Salary]],P$41:Q$46,2,TRUE)</f>
        <v>0.08</v>
      </c>
      <c r="L31" s="293">
        <f>INDEX(Q$41:Q$46,MATCH(Lookup[[#This Row],[Salary]],P$41:P$46,1))</f>
        <v>0.08</v>
      </c>
      <c r="M31" s="468">
        <f>_xlfn.XLOOKUP(Lookup[[#This Row],[Salary]],P$41:P$46,Q$41:Q$46,,-1)</f>
        <v>0.08</v>
      </c>
      <c r="P31" s="3"/>
      <c r="R31" s="286" t="s">
        <v>44</v>
      </c>
      <c r="S31" s="296" t="str">
        <f>_xlfn.XLOOKUP(R31,Lookup[Staff ID],Lookup[Employee Name])</f>
        <v>Francisca Obeng</v>
      </c>
      <c r="T31" s="480">
        <f>_xlfn.XLOOKUP(R31,Lookup[Staff ID],Lookup[Date Employed])</f>
        <v>40495</v>
      </c>
      <c r="U31" s="296" t="str">
        <f>_xlfn.XLOOKUP(R31,Lookup[Staff ID],Lookup[Department])</f>
        <v>Accounts</v>
      </c>
      <c r="V31" s="296">
        <f>_xlfn.XLOOKUP(R31,Lookup[Staff ID],Lookup[Salary])</f>
        <v>8508</v>
      </c>
    </row>
    <row r="32" spans="3:22" s="25" customFormat="1" ht="16" x14ac:dyDescent="0.45">
      <c r="C32" s="445" t="s">
        <v>60</v>
      </c>
      <c r="D32" s="103">
        <v>41250</v>
      </c>
      <c r="E32" s="27" t="s">
        <v>85</v>
      </c>
      <c r="F32" s="105" t="s">
        <v>312</v>
      </c>
      <c r="G32" s="27">
        <v>14</v>
      </c>
      <c r="H32" s="27" t="s">
        <v>25</v>
      </c>
      <c r="I32" s="27">
        <v>3</v>
      </c>
      <c r="J32" s="28">
        <v>10778</v>
      </c>
      <c r="K32" s="293">
        <f>VLOOKUP(Lookup[[#This Row],[Salary]],P$41:Q$46,2,TRUE)</f>
        <v>0.08</v>
      </c>
      <c r="L32" s="293">
        <f>INDEX(Q$41:Q$46,MATCH(Lookup[[#This Row],[Salary]],P$41:P$46,1))</f>
        <v>0.08</v>
      </c>
      <c r="M32" s="468">
        <f>_xlfn.XLOOKUP(Lookup[[#This Row],[Salary]],P$41:P$46,Q$41:Q$46,,-1)</f>
        <v>0.08</v>
      </c>
      <c r="P32" s="3"/>
      <c r="R32" s="286" t="s">
        <v>52</v>
      </c>
      <c r="S32" s="296" t="str">
        <f>_xlfn.XLOOKUP(R32,Lookup[Staff ID],Lookup[Employee Name])</f>
        <v>Cecilia Esi</v>
      </c>
      <c r="T32" s="480">
        <f>_xlfn.XLOOKUP(R32,Lookup[Staff ID],Lookup[Date Employed])</f>
        <v>39017</v>
      </c>
      <c r="U32" s="296" t="str">
        <f>_xlfn.XLOOKUP(R32,Lookup[Staff ID],Lookup[Department])</f>
        <v>TOS</v>
      </c>
      <c r="V32" s="296">
        <f>_xlfn.XLOOKUP(R32,Lookup[Staff ID],Lookup[Salary])</f>
        <v>9428</v>
      </c>
    </row>
    <row r="33" spans="3:25" s="25" customFormat="1" ht="16" x14ac:dyDescent="0.45">
      <c r="C33" s="445" t="s">
        <v>61</v>
      </c>
      <c r="D33" s="103">
        <v>40706</v>
      </c>
      <c r="E33" s="27" t="s">
        <v>86</v>
      </c>
      <c r="F33" s="105" t="s">
        <v>319</v>
      </c>
      <c r="G33" s="27">
        <v>11</v>
      </c>
      <c r="H33" s="27" t="s">
        <v>78</v>
      </c>
      <c r="I33" s="27">
        <v>4</v>
      </c>
      <c r="J33" s="28">
        <v>1700</v>
      </c>
      <c r="K33" s="293">
        <f>VLOOKUP(Lookup[[#This Row],[Salary]],P$41:Q$46,2,TRUE)</f>
        <v>4.4999999999999998E-2</v>
      </c>
      <c r="L33" s="293">
        <f>INDEX(Q$41:Q$46,MATCH(Lookup[[#This Row],[Salary]],P$41:P$46,1))</f>
        <v>4.4999999999999998E-2</v>
      </c>
      <c r="M33" s="468">
        <f>_xlfn.XLOOKUP(Lookup[[#This Row],[Salary]],P$41:P$46,Q$41:Q$46,,-1)</f>
        <v>4.4999999999999998E-2</v>
      </c>
      <c r="P33" s="1"/>
      <c r="R33" s="286" t="s">
        <v>56</v>
      </c>
      <c r="S33" s="296" t="str">
        <f>_xlfn.XLOOKUP(R33,Lookup[Staff ID],Lookup[Employee Name])</f>
        <v>Lovelyn Bentil</v>
      </c>
      <c r="T33" s="480">
        <f>_xlfn.XLOOKUP(R33,Lookup[Staff ID],Lookup[Date Employed])</f>
        <v>37217</v>
      </c>
      <c r="U33" s="296" t="str">
        <f>_xlfn.XLOOKUP(R33,Lookup[Staff ID],Lookup[Department])</f>
        <v>Operations</v>
      </c>
      <c r="V33" s="296">
        <f>_xlfn.XLOOKUP(R33,Lookup[Staff ID],Lookup[Salary])</f>
        <v>2500</v>
      </c>
    </row>
    <row r="34" spans="3:25" s="25" customFormat="1" ht="16" x14ac:dyDescent="0.45">
      <c r="C34" s="445" t="s">
        <v>62</v>
      </c>
      <c r="D34" s="103">
        <v>41200</v>
      </c>
      <c r="E34" s="27" t="s">
        <v>87</v>
      </c>
      <c r="F34" s="105" t="s">
        <v>319</v>
      </c>
      <c r="G34" s="27">
        <v>7</v>
      </c>
      <c r="H34" s="27" t="s">
        <v>27</v>
      </c>
      <c r="I34" s="27">
        <v>5</v>
      </c>
      <c r="J34" s="28">
        <v>2500</v>
      </c>
      <c r="K34" s="293">
        <f>VLOOKUP(Lookup[[#This Row],[Salary]],P$41:Q$46,2,TRUE)</f>
        <v>0.06</v>
      </c>
      <c r="L34" s="293">
        <f>INDEX(Q$41:Q$46,MATCH(Lookup[[#This Row],[Salary]],P$41:P$46,1))</f>
        <v>0.06</v>
      </c>
      <c r="M34" s="468">
        <f>_xlfn.XLOOKUP(Lookup[[#This Row],[Salary]],P$41:P$46,Q$41:Q$46,,-1)</f>
        <v>0.06</v>
      </c>
    </row>
    <row r="35" spans="3:25" s="25" customFormat="1" ht="16" x14ac:dyDescent="0.45">
      <c r="C35" s="445" t="s">
        <v>63</v>
      </c>
      <c r="D35" s="103">
        <v>41558</v>
      </c>
      <c r="E35" s="27" t="s">
        <v>88</v>
      </c>
      <c r="F35" s="105" t="s">
        <v>317</v>
      </c>
      <c r="G35" s="27">
        <v>12</v>
      </c>
      <c r="H35" s="27" t="s">
        <v>27</v>
      </c>
      <c r="I35" s="27">
        <v>2</v>
      </c>
      <c r="J35" s="28">
        <v>2500</v>
      </c>
      <c r="K35" s="293">
        <f>VLOOKUP(Lookup[[#This Row],[Salary]],P$41:Q$46,2,TRUE)</f>
        <v>0.06</v>
      </c>
      <c r="L35" s="293">
        <f>INDEX(Q$41:Q$46,MATCH(Lookup[[#This Row],[Salary]],P$41:P$46,1))</f>
        <v>0.06</v>
      </c>
      <c r="M35" s="468">
        <f>_xlfn.XLOOKUP(Lookup[[#This Row],[Salary]],P$41:P$46,Q$41:Q$46,,-1)</f>
        <v>0.06</v>
      </c>
    </row>
    <row r="36" spans="3:25" s="25" customFormat="1" ht="16" x14ac:dyDescent="0.45">
      <c r="C36" s="445" t="s">
        <v>64</v>
      </c>
      <c r="D36" s="103">
        <v>39172</v>
      </c>
      <c r="E36" s="27" t="s">
        <v>89</v>
      </c>
      <c r="F36" s="105" t="s">
        <v>319</v>
      </c>
      <c r="G36" s="27">
        <v>14</v>
      </c>
      <c r="H36" s="27" t="s">
        <v>78</v>
      </c>
      <c r="I36" s="27">
        <v>4</v>
      </c>
      <c r="J36" s="28">
        <v>1700</v>
      </c>
      <c r="K36" s="293">
        <f>VLOOKUP(Lookup[[#This Row],[Salary]],P$41:Q$46,2,TRUE)</f>
        <v>4.4999999999999998E-2</v>
      </c>
      <c r="L36" s="293">
        <f>INDEX(Q$41:Q$46,MATCH(Lookup[[#This Row],[Salary]],P$41:P$46,1))</f>
        <v>4.4999999999999998E-2</v>
      </c>
      <c r="M36" s="468">
        <f>_xlfn.XLOOKUP(Lookup[[#This Row],[Salary]],P$41:P$46,Q$41:Q$46,,-1)</f>
        <v>4.4999999999999998E-2</v>
      </c>
      <c r="O36" s="25" t="s">
        <v>14</v>
      </c>
      <c r="P36" s="126" t="s">
        <v>714</v>
      </c>
      <c r="Q36" s="126"/>
      <c r="R36" s="126"/>
      <c r="S36" s="126"/>
      <c r="T36" s="126"/>
      <c r="U36" s="126"/>
      <c r="V36" s="294"/>
      <c r="W36" s="295"/>
    </row>
    <row r="37" spans="3:25" s="25" customFormat="1" ht="16" x14ac:dyDescent="0.45">
      <c r="C37" s="445" t="s">
        <v>65</v>
      </c>
      <c r="D37" s="103">
        <v>42221</v>
      </c>
      <c r="E37" s="27" t="s">
        <v>90</v>
      </c>
      <c r="F37" s="105" t="s">
        <v>314</v>
      </c>
      <c r="G37" s="27">
        <v>14</v>
      </c>
      <c r="H37" s="27" t="s">
        <v>25</v>
      </c>
      <c r="I37" s="27">
        <v>3</v>
      </c>
      <c r="J37" s="28">
        <v>3830</v>
      </c>
      <c r="K37" s="293">
        <f>VLOOKUP(Lookup[[#This Row],[Salary]],P$41:Q$46,2,TRUE)</f>
        <v>0.06</v>
      </c>
      <c r="L37" s="293">
        <f>INDEX(Q$41:Q$46,MATCH(Lookup[[#This Row],[Salary]],P$41:P$46,1))</f>
        <v>0.06</v>
      </c>
      <c r="M37" s="468">
        <f>_xlfn.XLOOKUP(Lookup[[#This Row],[Salary]],P$41:P$46,Q$41:Q$46,,-1)</f>
        <v>0.06</v>
      </c>
    </row>
    <row r="38" spans="3:25" s="25" customFormat="1" ht="16" x14ac:dyDescent="0.45">
      <c r="C38" s="445" t="s">
        <v>66</v>
      </c>
      <c r="D38" s="103">
        <v>40354</v>
      </c>
      <c r="E38" s="27" t="s">
        <v>91</v>
      </c>
      <c r="F38" s="105" t="s">
        <v>321</v>
      </c>
      <c r="G38" s="27">
        <v>12</v>
      </c>
      <c r="H38" s="27" t="s">
        <v>25</v>
      </c>
      <c r="I38" s="27">
        <v>4</v>
      </c>
      <c r="J38" s="28">
        <v>4600</v>
      </c>
      <c r="K38" s="293">
        <f>VLOOKUP(Lookup[[#This Row],[Salary]],P$41:Q$46,2,TRUE)</f>
        <v>0.06</v>
      </c>
      <c r="L38" s="293">
        <f>INDEX(Q$41:Q$46,MATCH(Lookup[[#This Row],[Salary]],P$41:P$46,1))</f>
        <v>0.06</v>
      </c>
      <c r="M38" s="468">
        <f>_xlfn.XLOOKUP(Lookup[[#This Row],[Salary]],P$41:P$46,Q$41:Q$46,,-1)</f>
        <v>0.06</v>
      </c>
      <c r="P38" s="106" t="s">
        <v>721</v>
      </c>
      <c r="Q38" s="201"/>
    </row>
    <row r="39" spans="3:25" s="25" customFormat="1" ht="16" x14ac:dyDescent="0.45">
      <c r="C39" s="445" t="s">
        <v>67</v>
      </c>
      <c r="D39" s="103">
        <v>37013</v>
      </c>
      <c r="E39" s="27" t="s">
        <v>92</v>
      </c>
      <c r="F39" s="105" t="s">
        <v>317</v>
      </c>
      <c r="G39" s="27">
        <v>11</v>
      </c>
      <c r="H39" s="27" t="s">
        <v>25</v>
      </c>
      <c r="I39" s="27">
        <v>2</v>
      </c>
      <c r="J39" s="28">
        <v>3246</v>
      </c>
      <c r="K39" s="293">
        <f>VLOOKUP(Lookup[[#This Row],[Salary]],P$41:Q$46,2,TRUE)</f>
        <v>0.06</v>
      </c>
      <c r="L39" s="293">
        <f>INDEX(Q$41:Q$46,MATCH(Lookup[[#This Row],[Salary]],P$41:P$46,1))</f>
        <v>0.06</v>
      </c>
      <c r="M39" s="468">
        <f>_xlfn.XLOOKUP(Lookup[[#This Row],[Salary]],P$41:P$46,Q$41:Q$46,,-1)</f>
        <v>0.06</v>
      </c>
      <c r="P39" s="197"/>
      <c r="Q39" s="197"/>
      <c r="R39" s="297"/>
      <c r="S39" s="25" t="s">
        <v>719</v>
      </c>
    </row>
    <row r="40" spans="3:25" s="25" customFormat="1" ht="16" x14ac:dyDescent="0.45">
      <c r="C40" s="445" t="s">
        <v>68</v>
      </c>
      <c r="D40" s="103">
        <v>41728</v>
      </c>
      <c r="E40" s="27" t="s">
        <v>93</v>
      </c>
      <c r="F40" s="105" t="s">
        <v>321</v>
      </c>
      <c r="G40" s="27">
        <v>7</v>
      </c>
      <c r="H40" s="27" t="s">
        <v>27</v>
      </c>
      <c r="I40" s="27">
        <v>4</v>
      </c>
      <c r="J40" s="28">
        <v>12840</v>
      </c>
      <c r="K40" s="293">
        <f>VLOOKUP(Lookup[[#This Row],[Salary]],P$41:Q$46,2,TRUE)</f>
        <v>0.08</v>
      </c>
      <c r="L40" s="293">
        <f>INDEX(Q$41:Q$46,MATCH(Lookup[[#This Row],[Salary]],P$41:P$46,1))</f>
        <v>0.08</v>
      </c>
      <c r="M40" s="468">
        <f>_xlfn.XLOOKUP(Lookup[[#This Row],[Salary]],P$41:P$46,Q$41:Q$46,,-1)</f>
        <v>0.08</v>
      </c>
      <c r="P40" s="287" t="s">
        <v>22</v>
      </c>
      <c r="Q40" s="288" t="s">
        <v>715</v>
      </c>
    </row>
    <row r="41" spans="3:25" ht="16" x14ac:dyDescent="0.45">
      <c r="C41" s="445" t="s">
        <v>69</v>
      </c>
      <c r="D41" s="103">
        <v>36868</v>
      </c>
      <c r="E41" s="27" t="s">
        <v>94</v>
      </c>
      <c r="F41" s="105" t="s">
        <v>320</v>
      </c>
      <c r="G41" s="27">
        <v>6</v>
      </c>
      <c r="H41" s="27" t="s">
        <v>78</v>
      </c>
      <c r="I41" s="27">
        <v>5</v>
      </c>
      <c r="J41" s="28">
        <v>4500</v>
      </c>
      <c r="K41" s="293">
        <f>VLOOKUP(Lookup[[#This Row],[Salary]],P$41:Q$46,2,TRUE)</f>
        <v>0.06</v>
      </c>
      <c r="L41" s="293">
        <f>INDEX(Q$41:Q$46,MATCH(Lookup[[#This Row],[Salary]],P$41:P$46,1))</f>
        <v>0.06</v>
      </c>
      <c r="M41" s="468">
        <f>_xlfn.XLOOKUP(Lookup[[#This Row],[Salary]],P$41:P$46,Q$41:Q$46,,-1)</f>
        <v>0.06</v>
      </c>
      <c r="N41" s="25"/>
      <c r="O41" s="25"/>
      <c r="P41" s="291">
        <v>0</v>
      </c>
      <c r="Q41" s="289">
        <v>4.4999999999999998E-2</v>
      </c>
      <c r="R41" s="25"/>
      <c r="S41" s="25"/>
      <c r="T41" s="25"/>
      <c r="U41" s="25"/>
      <c r="V41" s="25"/>
      <c r="W41" s="25"/>
      <c r="X41" s="25"/>
      <c r="Y41" s="25"/>
    </row>
    <row r="42" spans="3:25" ht="16" x14ac:dyDescent="0.45">
      <c r="C42" s="445" t="s">
        <v>70</v>
      </c>
      <c r="D42" s="103">
        <v>41788</v>
      </c>
      <c r="E42" s="27" t="s">
        <v>95</v>
      </c>
      <c r="F42" s="105" t="s">
        <v>321</v>
      </c>
      <c r="G42" s="27">
        <v>10</v>
      </c>
      <c r="H42" s="27" t="s">
        <v>25</v>
      </c>
      <c r="I42" s="27">
        <v>1</v>
      </c>
      <c r="J42" s="28">
        <v>2500</v>
      </c>
      <c r="K42" s="293">
        <f>VLOOKUP(Lookup[[#This Row],[Salary]],P$41:Q$46,2,TRUE)</f>
        <v>0.06</v>
      </c>
      <c r="L42" s="293">
        <f>INDEX(Q$41:Q$46,MATCH(Lookup[[#This Row],[Salary]],P$41:P$46,1))</f>
        <v>0.06</v>
      </c>
      <c r="M42" s="468">
        <f>_xlfn.XLOOKUP(Lookup[[#This Row],[Salary]],P$41:P$46,Q$41:Q$46,,-1)</f>
        <v>0.06</v>
      </c>
      <c r="N42" s="25"/>
      <c r="O42" s="25"/>
      <c r="P42" s="292">
        <v>2000</v>
      </c>
      <c r="Q42" s="290">
        <v>0.06</v>
      </c>
      <c r="R42" s="25"/>
      <c r="S42" s="25"/>
      <c r="T42" s="25"/>
      <c r="U42" s="25"/>
      <c r="V42" s="25"/>
      <c r="W42" s="25"/>
      <c r="X42" s="25"/>
      <c r="Y42" s="25"/>
    </row>
    <row r="43" spans="3:25" ht="16" x14ac:dyDescent="0.45">
      <c r="C43" s="445" t="s">
        <v>71</v>
      </c>
      <c r="D43" s="103">
        <v>41934</v>
      </c>
      <c r="E43" s="27" t="s">
        <v>96</v>
      </c>
      <c r="F43" s="105" t="s">
        <v>314</v>
      </c>
      <c r="G43" s="27">
        <v>20</v>
      </c>
      <c r="H43" s="27" t="s">
        <v>78</v>
      </c>
      <c r="I43" s="27">
        <v>3</v>
      </c>
      <c r="J43" s="28">
        <v>1700</v>
      </c>
      <c r="K43" s="293">
        <f>VLOOKUP(Lookup[[#This Row],[Salary]],P$41:Q$46,2,TRUE)</f>
        <v>4.4999999999999998E-2</v>
      </c>
      <c r="L43" s="293">
        <f>INDEX(Q$41:Q$46,MATCH(Lookup[[#This Row],[Salary]],P$41:P$46,1))</f>
        <v>4.4999999999999998E-2</v>
      </c>
      <c r="M43" s="468">
        <f>_xlfn.XLOOKUP(Lookup[[#This Row],[Salary]],P$41:P$46,Q$41:Q$46,,-1)</f>
        <v>4.4999999999999998E-2</v>
      </c>
      <c r="N43" s="25"/>
      <c r="O43" s="25"/>
      <c r="P43" s="291">
        <v>5000</v>
      </c>
      <c r="Q43" s="289">
        <v>7.0000000000000007E-2</v>
      </c>
      <c r="R43" s="25"/>
      <c r="S43" s="25"/>
      <c r="T43" s="25"/>
      <c r="U43" s="25"/>
      <c r="V43" s="25"/>
      <c r="W43" s="25"/>
      <c r="X43" s="25"/>
      <c r="Y43" s="25"/>
    </row>
    <row r="44" spans="3:25" ht="16" x14ac:dyDescent="0.45">
      <c r="C44" s="445" t="s">
        <v>72</v>
      </c>
      <c r="D44" s="103">
        <v>42567</v>
      </c>
      <c r="E44" s="27" t="s">
        <v>97</v>
      </c>
      <c r="F44" s="105" t="s">
        <v>314</v>
      </c>
      <c r="G44" s="27">
        <v>7</v>
      </c>
      <c r="H44" s="27" t="s">
        <v>78</v>
      </c>
      <c r="I44" s="27">
        <v>1</v>
      </c>
      <c r="J44" s="28">
        <v>1700</v>
      </c>
      <c r="K44" s="293">
        <f>VLOOKUP(Lookup[[#This Row],[Salary]],P$41:Q$46,2,TRUE)</f>
        <v>4.4999999999999998E-2</v>
      </c>
      <c r="L44" s="293">
        <f>INDEX(Q$41:Q$46,MATCH(Lookup[[#This Row],[Salary]],P$41:P$46,1))</f>
        <v>4.4999999999999998E-2</v>
      </c>
      <c r="M44" s="468">
        <f>_xlfn.XLOOKUP(Lookup[[#This Row],[Salary]],P$41:P$46,Q$41:Q$46,,-1)</f>
        <v>4.4999999999999998E-2</v>
      </c>
      <c r="N44" s="25"/>
      <c r="O44" s="25"/>
      <c r="P44" s="292">
        <v>10000</v>
      </c>
      <c r="Q44" s="290">
        <v>0.08</v>
      </c>
      <c r="R44" s="25"/>
      <c r="S44" s="25"/>
      <c r="T44" s="25"/>
      <c r="U44" s="25"/>
      <c r="V44" s="25"/>
      <c r="W44" s="25"/>
      <c r="X44" s="25"/>
      <c r="Y44" s="25"/>
    </row>
    <row r="45" spans="3:25" ht="16" x14ac:dyDescent="0.45">
      <c r="C45" s="445" t="s">
        <v>73</v>
      </c>
      <c r="D45" s="103">
        <v>40415</v>
      </c>
      <c r="E45" s="27" t="s">
        <v>98</v>
      </c>
      <c r="F45" s="105" t="s">
        <v>316</v>
      </c>
      <c r="G45" s="27">
        <v>15</v>
      </c>
      <c r="H45" s="27" t="s">
        <v>27</v>
      </c>
      <c r="I45" s="27">
        <v>2</v>
      </c>
      <c r="J45" s="28">
        <v>2500</v>
      </c>
      <c r="K45" s="293">
        <f>VLOOKUP(Lookup[[#This Row],[Salary]],P$41:Q$46,2,TRUE)</f>
        <v>0.06</v>
      </c>
      <c r="L45" s="293">
        <f>INDEX(Q$41:Q$46,MATCH(Lookup[[#This Row],[Salary]],P$41:P$46,1))</f>
        <v>0.06</v>
      </c>
      <c r="M45" s="468">
        <f>_xlfn.XLOOKUP(Lookup[[#This Row],[Salary]],P$41:P$46,Q$41:Q$46,,-1)</f>
        <v>0.06</v>
      </c>
      <c r="N45" s="25"/>
      <c r="O45" s="25"/>
      <c r="P45" s="291">
        <v>15000</v>
      </c>
      <c r="Q45" s="289">
        <v>0.09</v>
      </c>
      <c r="R45" s="25"/>
      <c r="S45" s="25"/>
      <c r="T45" s="25"/>
      <c r="U45" s="25"/>
      <c r="V45" s="25"/>
      <c r="W45" s="25"/>
      <c r="X45" s="25"/>
      <c r="Y45" s="25"/>
    </row>
    <row r="46" spans="3:25" ht="16" x14ac:dyDescent="0.45">
      <c r="C46" s="449" t="s">
        <v>74</v>
      </c>
      <c r="D46" s="471">
        <v>42256</v>
      </c>
      <c r="E46" s="450" t="s">
        <v>99</v>
      </c>
      <c r="F46" s="450" t="s">
        <v>320</v>
      </c>
      <c r="G46" s="450">
        <v>12</v>
      </c>
      <c r="H46" s="450" t="s">
        <v>25</v>
      </c>
      <c r="I46" s="450">
        <v>2</v>
      </c>
      <c r="J46" s="472">
        <v>2500</v>
      </c>
      <c r="K46" s="473">
        <f>VLOOKUP(Lookup[[#This Row],[Salary]],P$41:Q$46,2,TRUE)</f>
        <v>0.06</v>
      </c>
      <c r="L46" s="473">
        <f>INDEX(Q$41:Q$46,MATCH(Lookup[[#This Row],[Salary]],P$41:P$46,1))</f>
        <v>0.06</v>
      </c>
      <c r="M46" s="474">
        <f>_xlfn.XLOOKUP(Lookup[[#This Row],[Salary]],P$41:P$46,Q$41:Q$46,,-1)</f>
        <v>0.06</v>
      </c>
      <c r="N46" s="25"/>
      <c r="O46" s="25"/>
      <c r="P46" s="292">
        <v>20000</v>
      </c>
      <c r="Q46" s="290">
        <v>0.1</v>
      </c>
      <c r="R46" s="25"/>
      <c r="S46" s="25"/>
      <c r="T46" s="25"/>
      <c r="U46" s="25"/>
      <c r="V46" s="25"/>
      <c r="W46" s="25"/>
      <c r="X46" s="25"/>
      <c r="Y46" s="25"/>
    </row>
    <row r="47" spans="3:25" ht="16" x14ac:dyDescent="0.45">
      <c r="D47" s="143"/>
    </row>
  </sheetData>
  <mergeCells count="3">
    <mergeCell ref="P18:P21"/>
    <mergeCell ref="P24:P27"/>
    <mergeCell ref="P30:P33"/>
  </mergeCells>
  <pageMargins left="0.7" right="0.7" top="0.75" bottom="0.75" header="0.3" footer="0.3"/>
  <pageSetup orientation="portrait" horizontalDpi="300" verticalDpi="300"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1512D-901C-4B97-ACEA-B3976662373E}">
  <sheetPr codeName="Sheet9"/>
  <dimension ref="A2:L28"/>
  <sheetViews>
    <sheetView showGridLines="0" topLeftCell="A12" workbookViewId="0">
      <selection activeCell="C26" sqref="C26"/>
    </sheetView>
  </sheetViews>
  <sheetFormatPr defaultColWidth="9.1796875" defaultRowHeight="16" x14ac:dyDescent="0.45"/>
  <cols>
    <col min="1" max="1" width="2.81640625" style="25" customWidth="1"/>
    <col min="2" max="2" width="62.453125" style="25" customWidth="1"/>
    <col min="3" max="3" width="21.81640625" style="25" customWidth="1"/>
    <col min="4" max="4" width="25.1796875" style="25" customWidth="1"/>
    <col min="5" max="5" width="1.54296875" style="25" customWidth="1"/>
    <col min="6" max="6" width="22.54296875" style="25" customWidth="1"/>
    <col min="7" max="7" width="19.453125" style="25" bestFit="1" customWidth="1"/>
    <col min="8" max="8" width="15.7265625" style="25" customWidth="1"/>
    <col min="9" max="9" width="19.54296875" style="25" bestFit="1" customWidth="1"/>
    <col min="10" max="11" width="12.453125" style="25" customWidth="1"/>
    <col min="12" max="12" width="2.453125" style="25" customWidth="1"/>
    <col min="13" max="13" width="26.81640625" style="25" customWidth="1"/>
    <col min="14" max="16384" width="9.1796875" style="25"/>
  </cols>
  <sheetData>
    <row r="2" spans="1:12" x14ac:dyDescent="0.45">
      <c r="B2" s="126"/>
      <c r="C2" s="126"/>
      <c r="D2" s="126"/>
      <c r="E2" s="126"/>
      <c r="F2" s="126"/>
      <c r="G2" s="126"/>
      <c r="H2" s="126"/>
      <c r="I2" s="126"/>
      <c r="J2" s="126"/>
      <c r="K2" s="126"/>
      <c r="L2" s="126"/>
    </row>
    <row r="3" spans="1:12" x14ac:dyDescent="0.45">
      <c r="B3" s="127" t="s">
        <v>326</v>
      </c>
      <c r="C3" s="128"/>
      <c r="D3" s="126"/>
      <c r="E3" s="126"/>
      <c r="F3" s="126"/>
      <c r="G3" s="126"/>
      <c r="H3" s="126"/>
      <c r="I3" s="126"/>
      <c r="J3" s="126"/>
      <c r="K3" s="126"/>
      <c r="L3" s="126"/>
    </row>
    <row r="4" spans="1:12" x14ac:dyDescent="0.45">
      <c r="B4" s="128" t="s">
        <v>364</v>
      </c>
      <c r="C4" s="126"/>
      <c r="D4" s="126"/>
      <c r="E4" s="126"/>
      <c r="F4" s="126"/>
      <c r="G4" s="126"/>
      <c r="H4" s="126"/>
      <c r="I4" s="126"/>
      <c r="J4" s="126"/>
      <c r="K4" s="126"/>
      <c r="L4" s="126"/>
    </row>
    <row r="7" spans="1:12" x14ac:dyDescent="0.45">
      <c r="F7" s="216" t="s">
        <v>16</v>
      </c>
      <c r="G7" s="200"/>
      <c r="H7" s="200"/>
      <c r="I7" s="200"/>
      <c r="J7" s="200"/>
    </row>
    <row r="8" spans="1:12" x14ac:dyDescent="0.45">
      <c r="B8" s="217"/>
      <c r="C8" s="217"/>
      <c r="D8" s="29" t="s">
        <v>100</v>
      </c>
    </row>
    <row r="9" spans="1:12" x14ac:dyDescent="0.45">
      <c r="B9" s="218" t="s">
        <v>101</v>
      </c>
      <c r="C9" s="218" t="s">
        <v>102</v>
      </c>
      <c r="D9" s="218" t="s">
        <v>103</v>
      </c>
      <c r="F9" s="25" t="s">
        <v>104</v>
      </c>
    </row>
    <row r="11" spans="1:12" x14ac:dyDescent="0.45">
      <c r="A11" s="25" t="s">
        <v>14</v>
      </c>
      <c r="B11" s="322" t="s">
        <v>16</v>
      </c>
      <c r="C11" s="322" t="s">
        <v>105</v>
      </c>
      <c r="D11" s="219"/>
    </row>
    <row r="12" spans="1:12" x14ac:dyDescent="0.45">
      <c r="B12" s="325" t="s">
        <v>106</v>
      </c>
      <c r="C12" s="323" t="str">
        <f>LEFT(B9,4)</f>
        <v>yvon</v>
      </c>
      <c r="E12" s="220"/>
      <c r="F12" s="221" t="s">
        <v>397</v>
      </c>
      <c r="G12" s="221"/>
      <c r="H12" s="221"/>
      <c r="I12" s="221"/>
      <c r="J12" s="221"/>
      <c r="K12" s="221"/>
      <c r="L12" s="222"/>
    </row>
    <row r="13" spans="1:12" x14ac:dyDescent="0.45">
      <c r="B13" s="326" t="s">
        <v>107</v>
      </c>
      <c r="C13" s="324" t="str">
        <f>RIGHT(C9,3)</f>
        <v>mma</v>
      </c>
      <c r="E13" s="223"/>
      <c r="F13" s="25" t="s">
        <v>398</v>
      </c>
      <c r="L13" s="224"/>
    </row>
    <row r="14" spans="1:12" x14ac:dyDescent="0.45">
      <c r="B14" s="326" t="s">
        <v>108</v>
      </c>
      <c r="C14" s="324" t="str">
        <f>MID(B9,3,2)</f>
        <v>on</v>
      </c>
      <c r="E14" s="223"/>
      <c r="F14" s="25" t="s">
        <v>399</v>
      </c>
      <c r="L14" s="224"/>
    </row>
    <row r="15" spans="1:12" x14ac:dyDescent="0.45">
      <c r="B15" s="326" t="s">
        <v>109</v>
      </c>
      <c r="C15" s="324" t="str">
        <f>CONCATENATE(B9," ",C9)</f>
        <v>yvonne Amma</v>
      </c>
      <c r="E15" s="223"/>
      <c r="F15" s="25" t="s">
        <v>400</v>
      </c>
      <c r="L15" s="224"/>
    </row>
    <row r="16" spans="1:12" x14ac:dyDescent="0.45">
      <c r="B16" s="326" t="s">
        <v>110</v>
      </c>
      <c r="C16" s="324" t="str">
        <f>B9&amp;" "&amp;C9</f>
        <v>yvonne Amma</v>
      </c>
      <c r="E16" s="223"/>
      <c r="F16" s="25" t="s">
        <v>401</v>
      </c>
      <c r="L16" s="224"/>
    </row>
    <row r="17" spans="2:12" x14ac:dyDescent="0.45">
      <c r="B17" s="326" t="s">
        <v>111</v>
      </c>
      <c r="C17" s="324">
        <f>LEN(D9)</f>
        <v>20</v>
      </c>
      <c r="E17" s="223"/>
      <c r="F17" s="25" t="s">
        <v>402</v>
      </c>
      <c r="L17" s="224"/>
    </row>
    <row r="18" spans="2:12" x14ac:dyDescent="0.45">
      <c r="B18" s="326" t="s">
        <v>112</v>
      </c>
      <c r="C18" s="324" t="str">
        <f>TRIM(D9)</f>
        <v>yvonne Amma</v>
      </c>
      <c r="E18" s="223"/>
      <c r="F18" s="25" t="s">
        <v>403</v>
      </c>
      <c r="L18" s="224"/>
    </row>
    <row r="19" spans="2:12" x14ac:dyDescent="0.45">
      <c r="B19" s="326" t="s">
        <v>113</v>
      </c>
      <c r="C19" s="324">
        <f>LEN(C18)</f>
        <v>11</v>
      </c>
      <c r="E19" s="223"/>
      <c r="F19" s="25" t="s">
        <v>402</v>
      </c>
      <c r="L19" s="224"/>
    </row>
    <row r="20" spans="2:12" x14ac:dyDescent="0.45">
      <c r="B20" s="326" t="s">
        <v>114</v>
      </c>
      <c r="C20" s="324">
        <f>C17-C19</f>
        <v>9</v>
      </c>
      <c r="E20" s="223"/>
      <c r="F20" s="25" t="s">
        <v>402</v>
      </c>
      <c r="L20" s="224"/>
    </row>
    <row r="21" spans="2:12" x14ac:dyDescent="0.45">
      <c r="B21" s="326" t="s">
        <v>115</v>
      </c>
      <c r="C21" s="324" t="str">
        <f>LOWER(C18)</f>
        <v>yvonne amma</v>
      </c>
      <c r="E21" s="223"/>
      <c r="F21" s="25" t="s">
        <v>404</v>
      </c>
      <c r="L21" s="224"/>
    </row>
    <row r="22" spans="2:12" x14ac:dyDescent="0.45">
      <c r="B22" s="326" t="s">
        <v>116</v>
      </c>
      <c r="C22" s="324" t="str">
        <f>UPPER(C21)</f>
        <v>YVONNE AMMA</v>
      </c>
      <c r="E22" s="223"/>
      <c r="F22" s="25" t="s">
        <v>405</v>
      </c>
      <c r="L22" s="224"/>
    </row>
    <row r="23" spans="2:12" x14ac:dyDescent="0.45">
      <c r="B23" s="326" t="s">
        <v>117</v>
      </c>
      <c r="C23" s="324" t="str">
        <f>PROPER(C22)</f>
        <v>Yvonne Amma</v>
      </c>
      <c r="E23" s="223"/>
      <c r="F23" s="25" t="s">
        <v>406</v>
      </c>
      <c r="L23" s="224"/>
    </row>
    <row r="24" spans="2:12" x14ac:dyDescent="0.45">
      <c r="B24" s="326" t="s">
        <v>118</v>
      </c>
      <c r="C24" s="324">
        <f>FIND(" ",C18)</f>
        <v>7</v>
      </c>
      <c r="E24" s="223"/>
      <c r="F24" s="25" t="s">
        <v>407</v>
      </c>
      <c r="L24" s="224"/>
    </row>
    <row r="25" spans="2:12" x14ac:dyDescent="0.45">
      <c r="B25" s="326" t="s">
        <v>119</v>
      </c>
      <c r="C25" s="324">
        <f>FIND("A",D9)</f>
        <v>14</v>
      </c>
      <c r="E25" s="223"/>
      <c r="F25" s="25" t="s">
        <v>407</v>
      </c>
      <c r="L25" s="224"/>
    </row>
    <row r="26" spans="2:12" x14ac:dyDescent="0.45">
      <c r="B26" s="326" t="s">
        <v>120</v>
      </c>
      <c r="C26" s="324">
        <f>SEARCH("a",D9)</f>
        <v>14</v>
      </c>
      <c r="E26" s="223"/>
      <c r="F26" s="25" t="s">
        <v>408</v>
      </c>
      <c r="L26" s="224"/>
    </row>
    <row r="27" spans="2:12" x14ac:dyDescent="0.45">
      <c r="B27" s="326" t="s">
        <v>121</v>
      </c>
      <c r="C27" s="324" t="str">
        <f>REPT("|",10)</f>
        <v>||||||||||</v>
      </c>
      <c r="E27" s="223"/>
      <c r="F27" s="25" t="s">
        <v>409</v>
      </c>
      <c r="L27" s="224"/>
    </row>
    <row r="28" spans="2:12" x14ac:dyDescent="0.45">
      <c r="B28" s="29"/>
      <c r="E28" s="225"/>
      <c r="F28" s="226"/>
      <c r="G28" s="226"/>
      <c r="H28" s="226"/>
      <c r="I28" s="226"/>
      <c r="J28" s="226"/>
      <c r="K28" s="226"/>
      <c r="L28" s="227"/>
    </row>
  </sheetData>
  <phoneticPr fontId="15" type="noConversion"/>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BCEA-E64D-425F-AFC9-AA246A157DD9}">
  <sheetPr codeName="Sheet10"/>
  <dimension ref="B2:S55"/>
  <sheetViews>
    <sheetView showGridLines="0" topLeftCell="L49" zoomScale="95" workbookViewId="0">
      <selection activeCell="Q20" sqref="Q20:Q54"/>
    </sheetView>
  </sheetViews>
  <sheetFormatPr defaultColWidth="9.1796875" defaultRowHeight="16" x14ac:dyDescent="0.45"/>
  <cols>
    <col min="1" max="1" width="3.26953125" style="25" customWidth="1"/>
    <col min="2" max="2" width="1.1796875" style="25" customWidth="1"/>
    <col min="3" max="3" width="14.453125" style="25" customWidth="1"/>
    <col min="4" max="4" width="26.1796875" style="25" customWidth="1"/>
    <col min="5" max="5" width="16.26953125" style="25" customWidth="1"/>
    <col min="6" max="6" width="20.453125" style="25" customWidth="1"/>
    <col min="7" max="7" width="18.1796875" style="25" customWidth="1"/>
    <col min="8" max="8" width="26" style="25" customWidth="1"/>
    <col min="9" max="9" width="18.453125" style="25" customWidth="1"/>
    <col min="10" max="10" width="18.26953125" style="25" customWidth="1"/>
    <col min="11" max="11" width="26" style="25" customWidth="1"/>
    <col min="12" max="12" width="31.453125" style="25" bestFit="1" customWidth="1"/>
    <col min="13" max="13" width="17.26953125" style="25" customWidth="1"/>
    <col min="14" max="14" width="26" style="25" customWidth="1"/>
    <col min="15" max="15" width="19.1796875" style="25" customWidth="1"/>
    <col min="16" max="16" width="18.54296875" style="25" customWidth="1"/>
    <col min="17" max="17" width="32.26953125" style="25" customWidth="1"/>
    <col min="18" max="18" width="16.453125" style="25" customWidth="1"/>
    <col min="19" max="19" width="14.81640625" style="25" customWidth="1"/>
    <col min="20" max="20" width="14.1796875" style="25" bestFit="1" customWidth="1"/>
    <col min="21" max="16384" width="9.1796875" style="25"/>
  </cols>
  <sheetData>
    <row r="2" spans="2:19" x14ac:dyDescent="0.45">
      <c r="B2" s="126"/>
      <c r="C2" s="126"/>
      <c r="D2" s="126"/>
      <c r="E2" s="126"/>
      <c r="F2" s="126"/>
      <c r="G2" s="126"/>
      <c r="H2" s="126"/>
      <c r="I2" s="126"/>
      <c r="J2" s="126"/>
      <c r="K2" s="126"/>
      <c r="L2" s="126"/>
      <c r="M2" s="126"/>
      <c r="N2" s="126"/>
      <c r="O2" s="126"/>
      <c r="P2" s="126"/>
      <c r="Q2" s="126"/>
      <c r="R2" s="126"/>
      <c r="S2" s="126"/>
    </row>
    <row r="3" spans="2:19" x14ac:dyDescent="0.45">
      <c r="B3" s="127" t="s">
        <v>326</v>
      </c>
      <c r="C3" s="128"/>
      <c r="D3" s="126"/>
      <c r="E3" s="126"/>
      <c r="F3" s="126"/>
      <c r="G3" s="126"/>
      <c r="H3" s="126"/>
      <c r="I3" s="126"/>
      <c r="J3" s="126"/>
      <c r="K3" s="126"/>
      <c r="L3" s="126"/>
      <c r="M3" s="126"/>
      <c r="N3" s="126"/>
      <c r="O3" s="126"/>
      <c r="P3" s="126"/>
      <c r="Q3" s="126"/>
      <c r="R3" s="126"/>
      <c r="S3" s="126"/>
    </row>
    <row r="4" spans="2:19" x14ac:dyDescent="0.45">
      <c r="B4" s="128" t="s">
        <v>364</v>
      </c>
      <c r="C4" s="126"/>
      <c r="D4" s="126"/>
      <c r="E4" s="126"/>
      <c r="F4" s="126"/>
      <c r="G4" s="126"/>
      <c r="H4" s="126"/>
      <c r="I4" s="126"/>
      <c r="J4" s="126"/>
      <c r="K4" s="126"/>
      <c r="L4" s="126"/>
      <c r="M4" s="126"/>
      <c r="N4" s="126"/>
      <c r="O4" s="126"/>
      <c r="P4" s="126"/>
      <c r="Q4" s="126"/>
      <c r="R4" s="126"/>
      <c r="S4" s="126"/>
    </row>
    <row r="6" spans="2:19" x14ac:dyDescent="0.45">
      <c r="Q6" s="228"/>
    </row>
    <row r="7" spans="2:19" ht="3.75" customHeight="1" x14ac:dyDescent="0.45">
      <c r="B7" s="30"/>
      <c r="C7" s="31"/>
      <c r="D7" s="31"/>
      <c r="E7" s="31"/>
      <c r="F7" s="31"/>
      <c r="G7" s="31"/>
      <c r="H7" s="31"/>
      <c r="I7" s="31"/>
      <c r="J7" s="31"/>
      <c r="K7" s="31"/>
      <c r="L7" s="31"/>
      <c r="M7" s="31"/>
      <c r="N7" s="31"/>
      <c r="O7" s="31"/>
      <c r="P7" s="31"/>
      <c r="Q7" s="32"/>
    </row>
    <row r="8" spans="2:19" x14ac:dyDescent="0.45">
      <c r="B8" s="33"/>
      <c r="C8" s="128" t="s">
        <v>122</v>
      </c>
      <c r="D8" s="126"/>
      <c r="Q8" s="229"/>
    </row>
    <row r="9" spans="2:19" ht="3.75" customHeight="1" x14ac:dyDescent="0.45">
      <c r="B9" s="33"/>
      <c r="Q9" s="34"/>
    </row>
    <row r="10" spans="2:19" x14ac:dyDescent="0.45">
      <c r="B10" s="33"/>
      <c r="C10" s="35" t="s">
        <v>123</v>
      </c>
      <c r="D10" s="35" t="s">
        <v>124</v>
      </c>
      <c r="E10" s="35" t="s">
        <v>125</v>
      </c>
      <c r="F10" s="35" t="s">
        <v>126</v>
      </c>
      <c r="G10" s="35" t="s">
        <v>127</v>
      </c>
      <c r="H10" s="35" t="s">
        <v>128</v>
      </c>
      <c r="I10" s="35" t="s">
        <v>129</v>
      </c>
      <c r="J10" s="35" t="s">
        <v>130</v>
      </c>
      <c r="K10" s="35" t="s">
        <v>131</v>
      </c>
      <c r="L10" s="35" t="s">
        <v>132</v>
      </c>
      <c r="M10" s="35" t="s">
        <v>133</v>
      </c>
      <c r="N10" s="35" t="s">
        <v>134</v>
      </c>
      <c r="O10" s="35" t="s">
        <v>135</v>
      </c>
      <c r="P10" s="35" t="s">
        <v>136</v>
      </c>
      <c r="Q10" s="35" t="s">
        <v>137</v>
      </c>
    </row>
    <row r="11" spans="2:19" x14ac:dyDescent="0.45">
      <c r="B11" s="33"/>
      <c r="C11" s="36" t="s">
        <v>138</v>
      </c>
      <c r="D11" s="37" t="s">
        <v>139</v>
      </c>
      <c r="E11" s="38" t="s">
        <v>140</v>
      </c>
      <c r="F11" s="39" t="s">
        <v>141</v>
      </c>
      <c r="G11" s="38" t="s">
        <v>142</v>
      </c>
      <c r="H11" s="38" t="s">
        <v>143</v>
      </c>
      <c r="I11" s="38" t="s">
        <v>144</v>
      </c>
      <c r="J11" s="38" t="s">
        <v>23</v>
      </c>
      <c r="K11" s="38" t="s">
        <v>145</v>
      </c>
      <c r="L11" s="40">
        <v>14</v>
      </c>
      <c r="M11" s="40">
        <v>8</v>
      </c>
      <c r="N11" s="38" t="s">
        <v>146</v>
      </c>
      <c r="O11" s="38" t="s">
        <v>147</v>
      </c>
      <c r="P11" s="38" t="s">
        <v>148</v>
      </c>
      <c r="Q11" s="41" t="s">
        <v>149</v>
      </c>
    </row>
    <row r="12" spans="2:19" ht="3.75" customHeight="1" x14ac:dyDescent="0.45">
      <c r="B12" s="42"/>
      <c r="C12" s="43"/>
      <c r="D12" s="43"/>
      <c r="E12" s="43"/>
      <c r="F12" s="43"/>
      <c r="G12" s="43"/>
      <c r="H12" s="43"/>
      <c r="I12" s="43"/>
      <c r="J12" s="43"/>
      <c r="K12" s="43"/>
      <c r="L12" s="43"/>
      <c r="M12" s="43"/>
      <c r="N12" s="43"/>
      <c r="O12" s="43"/>
      <c r="P12" s="43"/>
      <c r="Q12" s="44"/>
    </row>
    <row r="15" spans="2:19" x14ac:dyDescent="0.45">
      <c r="E15" s="45" t="s">
        <v>150</v>
      </c>
      <c r="F15" s="46"/>
      <c r="G15" s="46"/>
    </row>
    <row r="16" spans="2:19" x14ac:dyDescent="0.45">
      <c r="E16" s="47" t="s">
        <v>151</v>
      </c>
      <c r="F16" s="48"/>
      <c r="G16" s="48"/>
    </row>
    <row r="17" spans="3:17" x14ac:dyDescent="0.45">
      <c r="E17" s="49" t="s">
        <v>152</v>
      </c>
      <c r="F17" s="50"/>
      <c r="G17" s="50"/>
    </row>
    <row r="18" spans="3:17" ht="5.25" customHeight="1" x14ac:dyDescent="0.45"/>
    <row r="19" spans="3:17" s="51" customFormat="1" x14ac:dyDescent="0.45">
      <c r="C19" s="35" t="s">
        <v>123</v>
      </c>
      <c r="D19" s="35" t="s">
        <v>124</v>
      </c>
      <c r="E19" s="35" t="s">
        <v>125</v>
      </c>
      <c r="F19" s="35" t="s">
        <v>126</v>
      </c>
      <c r="G19" s="35" t="s">
        <v>127</v>
      </c>
      <c r="H19" s="35" t="s">
        <v>128</v>
      </c>
      <c r="I19" s="35" t="s">
        <v>129</v>
      </c>
      <c r="J19" s="35" t="s">
        <v>130</v>
      </c>
      <c r="K19" s="35" t="s">
        <v>131</v>
      </c>
      <c r="L19" s="35" t="s">
        <v>132</v>
      </c>
      <c r="M19" s="35" t="s">
        <v>133</v>
      </c>
      <c r="N19" s="35" t="s">
        <v>134</v>
      </c>
      <c r="O19" s="35" t="s">
        <v>135</v>
      </c>
      <c r="P19" s="35" t="s">
        <v>136</v>
      </c>
      <c r="Q19" s="35" t="s">
        <v>137</v>
      </c>
    </row>
    <row r="20" spans="3:17" x14ac:dyDescent="0.45">
      <c r="C20" s="52" t="s">
        <v>138</v>
      </c>
      <c r="D20" s="53" t="s">
        <v>139</v>
      </c>
      <c r="E20" s="38" t="str">
        <f>LEFT(C20,2)</f>
        <v>SD</v>
      </c>
      <c r="F20" s="39" t="s">
        <v>2719</v>
      </c>
      <c r="G20" s="38" t="str">
        <f>RIGHT(C20,2)</f>
        <v>FR</v>
      </c>
      <c r="H20" s="38" t="str">
        <f>TRIM(D20)</f>
        <v>fRAncis menSAH</v>
      </c>
      <c r="I20" s="38" t="str">
        <f>LOWER(H20)</f>
        <v>francis mensah</v>
      </c>
      <c r="J20" s="38" t="str">
        <f>PROPER(I20)</f>
        <v>Francis Mensah</v>
      </c>
      <c r="K20" s="38" t="str">
        <f>UPPER(I20)</f>
        <v>FRANCIS MENSAH</v>
      </c>
      <c r="L20" s="40">
        <f>LEN(H20)</f>
        <v>14</v>
      </c>
      <c r="M20" s="40">
        <f>SEARCH(" ",J20)</f>
        <v>8</v>
      </c>
      <c r="N20" s="38" t="str">
        <f>RIGHT(J20,2)</f>
        <v>ah</v>
      </c>
      <c r="O20" s="38" t="str">
        <f>_xlfn.TEXTBEFORE(J20," ")</f>
        <v>Francis</v>
      </c>
      <c r="P20" s="38" t="str">
        <f>_xlfn.TEXTAFTER(J20," ")</f>
        <v>Mensah</v>
      </c>
      <c r="Q20" s="41" t="str">
        <f>CONCATENATE(O20,"_",P20,"@gmail.com")</f>
        <v>Francis_Mensah@gmail.com</v>
      </c>
    </row>
    <row r="21" spans="3:17" x14ac:dyDescent="0.45">
      <c r="C21" s="54" t="s">
        <v>153</v>
      </c>
      <c r="D21" s="55" t="s">
        <v>154</v>
      </c>
      <c r="E21" s="38" t="str">
        <f t="shared" ref="E21:E54" si="0">LEFT(C21,2)</f>
        <v>SD</v>
      </c>
      <c r="F21" s="39"/>
      <c r="G21" s="38" t="str">
        <f t="shared" ref="G21:G54" si="1">RIGHT(C21,2)</f>
        <v>EB</v>
      </c>
      <c r="H21" s="38" t="str">
        <f t="shared" ref="H21:H54" si="2">TRIM(D21)</f>
        <v>ebenezer dARko</v>
      </c>
      <c r="I21" s="38" t="str">
        <f t="shared" ref="I21:I54" si="3">LOWER(H21)</f>
        <v>ebenezer darko</v>
      </c>
      <c r="J21" s="38" t="str">
        <f t="shared" ref="J21:J54" si="4">PROPER(I21)</f>
        <v>Ebenezer Darko</v>
      </c>
      <c r="K21" s="38" t="str">
        <f t="shared" ref="K21:K54" si="5">UPPER(I21)</f>
        <v>EBENEZER DARKO</v>
      </c>
      <c r="L21" s="40">
        <f t="shared" ref="L21:L54" si="6">LEN(H21)</f>
        <v>14</v>
      </c>
      <c r="M21" s="40">
        <f t="shared" ref="M21:M54" si="7">SEARCH(" ",J21)</f>
        <v>9</v>
      </c>
      <c r="N21" s="38" t="str">
        <f t="shared" ref="N21:N54" si="8">RIGHT(J21,2)</f>
        <v>ko</v>
      </c>
      <c r="O21" s="38" t="str">
        <f t="shared" ref="O21:O54" si="9">_xlfn.TEXTBEFORE(J21," ")</f>
        <v>Ebenezer</v>
      </c>
      <c r="P21" s="38" t="str">
        <f t="shared" ref="P21:P54" si="10">_xlfn.TEXTAFTER(J21," ")</f>
        <v>Darko</v>
      </c>
      <c r="Q21" s="41" t="str">
        <f t="shared" ref="Q21:Q54" si="11">CONCATENATE(O21,"_",P21,"@gmail.com")</f>
        <v>Ebenezer_Darko@gmail.com</v>
      </c>
    </row>
    <row r="22" spans="3:17" x14ac:dyDescent="0.45">
      <c r="C22" s="54" t="s">
        <v>155</v>
      </c>
      <c r="D22" s="55" t="s">
        <v>156</v>
      </c>
      <c r="E22" s="38" t="str">
        <f t="shared" si="0"/>
        <v>SD</v>
      </c>
      <c r="F22" s="39"/>
      <c r="G22" s="38" t="str">
        <f t="shared" si="1"/>
        <v>GO</v>
      </c>
      <c r="H22" s="38" t="str">
        <f t="shared" si="2"/>
        <v>Godred Gyimah</v>
      </c>
      <c r="I22" s="38" t="str">
        <f t="shared" si="3"/>
        <v>godred gyimah</v>
      </c>
      <c r="J22" s="38" t="str">
        <f t="shared" si="4"/>
        <v>Godred Gyimah</v>
      </c>
      <c r="K22" s="38" t="str">
        <f t="shared" si="5"/>
        <v>GODRED GYIMAH</v>
      </c>
      <c r="L22" s="40">
        <f t="shared" si="6"/>
        <v>13</v>
      </c>
      <c r="M22" s="40">
        <f t="shared" si="7"/>
        <v>7</v>
      </c>
      <c r="N22" s="38" t="str">
        <f t="shared" si="8"/>
        <v>ah</v>
      </c>
      <c r="O22" s="38" t="str">
        <f t="shared" si="9"/>
        <v>Godred</v>
      </c>
      <c r="P22" s="38" t="str">
        <f t="shared" si="10"/>
        <v>Gyimah</v>
      </c>
      <c r="Q22" s="41" t="str">
        <f t="shared" si="11"/>
        <v>Godred_Gyimah@gmail.com</v>
      </c>
    </row>
    <row r="23" spans="3:17" x14ac:dyDescent="0.45">
      <c r="C23" s="54" t="s">
        <v>157</v>
      </c>
      <c r="D23" s="55" t="s">
        <v>158</v>
      </c>
      <c r="E23" s="38" t="str">
        <f t="shared" si="0"/>
        <v>SD</v>
      </c>
      <c r="F23" s="39"/>
      <c r="G23" s="38" t="str">
        <f t="shared" si="1"/>
        <v>EM</v>
      </c>
      <c r="H23" s="38" t="str">
        <f t="shared" si="2"/>
        <v>Emmanuel KWAShie</v>
      </c>
      <c r="I23" s="38" t="str">
        <f t="shared" si="3"/>
        <v>emmanuel kwashie</v>
      </c>
      <c r="J23" s="38" t="str">
        <f t="shared" si="4"/>
        <v>Emmanuel Kwashie</v>
      </c>
      <c r="K23" s="38" t="str">
        <f t="shared" si="5"/>
        <v>EMMANUEL KWASHIE</v>
      </c>
      <c r="L23" s="40">
        <f t="shared" si="6"/>
        <v>16</v>
      </c>
      <c r="M23" s="40">
        <f t="shared" si="7"/>
        <v>9</v>
      </c>
      <c r="N23" s="38" t="str">
        <f t="shared" si="8"/>
        <v>ie</v>
      </c>
      <c r="O23" s="38" t="str">
        <f t="shared" si="9"/>
        <v>Emmanuel</v>
      </c>
      <c r="P23" s="38" t="str">
        <f t="shared" si="10"/>
        <v>Kwashie</v>
      </c>
      <c r="Q23" s="41" t="str">
        <f t="shared" si="11"/>
        <v>Emmanuel_Kwashie@gmail.com</v>
      </c>
    </row>
    <row r="24" spans="3:17" x14ac:dyDescent="0.45">
      <c r="C24" s="54" t="s">
        <v>159</v>
      </c>
      <c r="D24" s="55" t="s">
        <v>160</v>
      </c>
      <c r="E24" s="38" t="str">
        <f t="shared" si="0"/>
        <v>RT</v>
      </c>
      <c r="F24" s="39"/>
      <c r="G24" s="38" t="str">
        <f t="shared" si="1"/>
        <v>FR</v>
      </c>
      <c r="H24" s="38" t="str">
        <f t="shared" si="2"/>
        <v>Francisca obenG</v>
      </c>
      <c r="I24" s="38" t="str">
        <f t="shared" si="3"/>
        <v>francisca obeng</v>
      </c>
      <c r="J24" s="38" t="str">
        <f t="shared" si="4"/>
        <v>Francisca Obeng</v>
      </c>
      <c r="K24" s="38" t="str">
        <f t="shared" si="5"/>
        <v>FRANCISCA OBENG</v>
      </c>
      <c r="L24" s="40">
        <f t="shared" si="6"/>
        <v>15</v>
      </c>
      <c r="M24" s="40">
        <f t="shared" si="7"/>
        <v>10</v>
      </c>
      <c r="N24" s="38" t="str">
        <f t="shared" si="8"/>
        <v>ng</v>
      </c>
      <c r="O24" s="38" t="str">
        <f t="shared" si="9"/>
        <v>Francisca</v>
      </c>
      <c r="P24" s="38" t="str">
        <f t="shared" si="10"/>
        <v>Obeng</v>
      </c>
      <c r="Q24" s="41" t="str">
        <f t="shared" si="11"/>
        <v>Francisca_Obeng@gmail.com</v>
      </c>
    </row>
    <row r="25" spans="3:17" x14ac:dyDescent="0.45">
      <c r="C25" s="54" t="s">
        <v>161</v>
      </c>
      <c r="D25" s="55" t="s">
        <v>162</v>
      </c>
      <c r="E25" s="38" t="str">
        <f t="shared" si="0"/>
        <v>RT</v>
      </c>
      <c r="F25" s="39"/>
      <c r="G25" s="38" t="str">
        <f t="shared" si="1"/>
        <v>PA</v>
      </c>
      <c r="H25" s="38" t="str">
        <f t="shared" si="2"/>
        <v>Patricia NArh</v>
      </c>
      <c r="I25" s="38" t="str">
        <f t="shared" si="3"/>
        <v>patricia narh</v>
      </c>
      <c r="J25" s="38" t="str">
        <f t="shared" si="4"/>
        <v>Patricia Narh</v>
      </c>
      <c r="K25" s="38" t="str">
        <f t="shared" si="5"/>
        <v>PATRICIA NARH</v>
      </c>
      <c r="L25" s="40">
        <f t="shared" si="6"/>
        <v>13</v>
      </c>
      <c r="M25" s="40">
        <f t="shared" si="7"/>
        <v>9</v>
      </c>
      <c r="N25" s="38" t="str">
        <f t="shared" si="8"/>
        <v>rh</v>
      </c>
      <c r="O25" s="38" t="str">
        <f t="shared" si="9"/>
        <v>Patricia</v>
      </c>
      <c r="P25" s="38" t="str">
        <f t="shared" si="10"/>
        <v>Narh</v>
      </c>
      <c r="Q25" s="41" t="str">
        <f t="shared" si="11"/>
        <v>Patricia_Narh@gmail.com</v>
      </c>
    </row>
    <row r="26" spans="3:17" x14ac:dyDescent="0.45">
      <c r="C26" s="54" t="s">
        <v>163</v>
      </c>
      <c r="D26" s="55" t="s">
        <v>164</v>
      </c>
      <c r="E26" s="38" t="str">
        <f t="shared" si="0"/>
        <v>PN</v>
      </c>
      <c r="F26" s="39"/>
      <c r="G26" s="38" t="str">
        <f t="shared" si="1"/>
        <v>DE</v>
      </c>
      <c r="H26" s="38" t="str">
        <f t="shared" si="2"/>
        <v>desmond BoatEng</v>
      </c>
      <c r="I26" s="38" t="str">
        <f t="shared" si="3"/>
        <v>desmond boateng</v>
      </c>
      <c r="J26" s="38" t="str">
        <f t="shared" si="4"/>
        <v>Desmond Boateng</v>
      </c>
      <c r="K26" s="38" t="str">
        <f t="shared" si="5"/>
        <v>DESMOND BOATENG</v>
      </c>
      <c r="L26" s="40">
        <f t="shared" si="6"/>
        <v>15</v>
      </c>
      <c r="M26" s="40">
        <f t="shared" si="7"/>
        <v>8</v>
      </c>
      <c r="N26" s="38" t="str">
        <f t="shared" si="8"/>
        <v>ng</v>
      </c>
      <c r="O26" s="38" t="str">
        <f t="shared" si="9"/>
        <v>Desmond</v>
      </c>
      <c r="P26" s="38" t="str">
        <f t="shared" si="10"/>
        <v>Boateng</v>
      </c>
      <c r="Q26" s="41" t="str">
        <f t="shared" si="11"/>
        <v>Desmond_Boateng@gmail.com</v>
      </c>
    </row>
    <row r="27" spans="3:17" x14ac:dyDescent="0.45">
      <c r="C27" s="54" t="s">
        <v>165</v>
      </c>
      <c r="D27" s="55" t="s">
        <v>166</v>
      </c>
      <c r="E27" s="38" t="str">
        <f t="shared" si="0"/>
        <v>SD</v>
      </c>
      <c r="F27" s="39"/>
      <c r="G27" s="38" t="str">
        <f t="shared" si="1"/>
        <v>OK</v>
      </c>
      <c r="H27" s="38" t="str">
        <f t="shared" si="2"/>
        <v>Okyere MiNTah</v>
      </c>
      <c r="I27" s="38" t="str">
        <f t="shared" si="3"/>
        <v>okyere mintah</v>
      </c>
      <c r="J27" s="38" t="str">
        <f t="shared" si="4"/>
        <v>Okyere Mintah</v>
      </c>
      <c r="K27" s="38" t="str">
        <f t="shared" si="5"/>
        <v>OKYERE MINTAH</v>
      </c>
      <c r="L27" s="40">
        <f t="shared" si="6"/>
        <v>13</v>
      </c>
      <c r="M27" s="40">
        <f t="shared" si="7"/>
        <v>7</v>
      </c>
      <c r="N27" s="38" t="str">
        <f t="shared" si="8"/>
        <v>ah</v>
      </c>
      <c r="O27" s="38" t="str">
        <f t="shared" si="9"/>
        <v>Okyere</v>
      </c>
      <c r="P27" s="38" t="str">
        <f t="shared" si="10"/>
        <v>Mintah</v>
      </c>
      <c r="Q27" s="41" t="str">
        <f t="shared" si="11"/>
        <v>Okyere_Mintah@gmail.com</v>
      </c>
    </row>
    <row r="28" spans="3:17" x14ac:dyDescent="0.45">
      <c r="C28" s="54" t="s">
        <v>167</v>
      </c>
      <c r="D28" s="55" t="s">
        <v>168</v>
      </c>
      <c r="E28" s="38" t="str">
        <f t="shared" si="0"/>
        <v>JV</v>
      </c>
      <c r="F28" s="39"/>
      <c r="G28" s="38" t="str">
        <f t="shared" si="1"/>
        <v>PR</v>
      </c>
      <c r="H28" s="38" t="str">
        <f t="shared" si="2"/>
        <v>Priscilla Mintah</v>
      </c>
      <c r="I28" s="38" t="str">
        <f t="shared" si="3"/>
        <v>priscilla mintah</v>
      </c>
      <c r="J28" s="38" t="str">
        <f t="shared" si="4"/>
        <v>Priscilla Mintah</v>
      </c>
      <c r="K28" s="38" t="str">
        <f t="shared" si="5"/>
        <v>PRISCILLA MINTAH</v>
      </c>
      <c r="L28" s="40">
        <f t="shared" si="6"/>
        <v>16</v>
      </c>
      <c r="M28" s="40">
        <f t="shared" si="7"/>
        <v>10</v>
      </c>
      <c r="N28" s="38" t="str">
        <f t="shared" si="8"/>
        <v>ah</v>
      </c>
      <c r="O28" s="38" t="str">
        <f t="shared" si="9"/>
        <v>Priscilla</v>
      </c>
      <c r="P28" s="38" t="str">
        <f t="shared" si="10"/>
        <v>Mintah</v>
      </c>
      <c r="Q28" s="41" t="str">
        <f t="shared" si="11"/>
        <v>Priscilla_Mintah@gmail.com</v>
      </c>
    </row>
    <row r="29" spans="3:17" x14ac:dyDescent="0.45">
      <c r="C29" s="54" t="s">
        <v>169</v>
      </c>
      <c r="D29" s="55" t="s">
        <v>170</v>
      </c>
      <c r="E29" s="38" t="str">
        <f t="shared" si="0"/>
        <v>RT</v>
      </c>
      <c r="F29" s="39"/>
      <c r="G29" s="38" t="str">
        <f t="shared" si="1"/>
        <v>EL</v>
      </c>
      <c r="H29" s="38" t="str">
        <f t="shared" si="2"/>
        <v>elikem koBLa</v>
      </c>
      <c r="I29" s="38" t="str">
        <f t="shared" si="3"/>
        <v>elikem kobla</v>
      </c>
      <c r="J29" s="38" t="str">
        <f t="shared" si="4"/>
        <v>Elikem Kobla</v>
      </c>
      <c r="K29" s="38" t="str">
        <f t="shared" si="5"/>
        <v>ELIKEM KOBLA</v>
      </c>
      <c r="L29" s="40">
        <f t="shared" si="6"/>
        <v>12</v>
      </c>
      <c r="M29" s="40">
        <f t="shared" si="7"/>
        <v>7</v>
      </c>
      <c r="N29" s="38" t="str">
        <f t="shared" si="8"/>
        <v>la</v>
      </c>
      <c r="O29" s="38" t="str">
        <f t="shared" si="9"/>
        <v>Elikem</v>
      </c>
      <c r="P29" s="38" t="str">
        <f t="shared" si="10"/>
        <v>Kobla</v>
      </c>
      <c r="Q29" s="41" t="str">
        <f t="shared" si="11"/>
        <v>Elikem_Kobla@gmail.com</v>
      </c>
    </row>
    <row r="30" spans="3:17" x14ac:dyDescent="0.45">
      <c r="C30" s="54" t="s">
        <v>171</v>
      </c>
      <c r="D30" s="55" t="s">
        <v>172</v>
      </c>
      <c r="E30" s="38" t="str">
        <f t="shared" si="0"/>
        <v>JV</v>
      </c>
      <c r="F30" s="39"/>
      <c r="G30" s="38" t="str">
        <f t="shared" si="1"/>
        <v>JU</v>
      </c>
      <c r="H30" s="38" t="str">
        <f t="shared" si="2"/>
        <v>justice nyaMEkye</v>
      </c>
      <c r="I30" s="38" t="str">
        <f t="shared" si="3"/>
        <v>justice nyamekye</v>
      </c>
      <c r="J30" s="38" t="str">
        <f t="shared" si="4"/>
        <v>Justice Nyamekye</v>
      </c>
      <c r="K30" s="38" t="str">
        <f t="shared" si="5"/>
        <v>JUSTICE NYAMEKYE</v>
      </c>
      <c r="L30" s="40">
        <f t="shared" si="6"/>
        <v>16</v>
      </c>
      <c r="M30" s="40">
        <f t="shared" si="7"/>
        <v>8</v>
      </c>
      <c r="N30" s="38" t="str">
        <f t="shared" si="8"/>
        <v>ye</v>
      </c>
      <c r="O30" s="38" t="str">
        <f t="shared" si="9"/>
        <v>Justice</v>
      </c>
      <c r="P30" s="38" t="str">
        <f t="shared" si="10"/>
        <v>Nyamekye</v>
      </c>
      <c r="Q30" s="41" t="str">
        <f t="shared" si="11"/>
        <v>Justice_Nyamekye@gmail.com</v>
      </c>
    </row>
    <row r="31" spans="3:17" x14ac:dyDescent="0.45">
      <c r="C31" s="54" t="s">
        <v>173</v>
      </c>
      <c r="D31" s="55" t="s">
        <v>36</v>
      </c>
      <c r="E31" s="38" t="str">
        <f t="shared" si="0"/>
        <v>PN</v>
      </c>
      <c r="F31" s="39"/>
      <c r="G31" s="38" t="str">
        <f t="shared" si="1"/>
        <v>BR</v>
      </c>
      <c r="H31" s="38" t="str">
        <f t="shared" si="2"/>
        <v>Bridget Okyere</v>
      </c>
      <c r="I31" s="38" t="str">
        <f t="shared" si="3"/>
        <v>bridget okyere</v>
      </c>
      <c r="J31" s="38" t="str">
        <f t="shared" si="4"/>
        <v>Bridget Okyere</v>
      </c>
      <c r="K31" s="38" t="str">
        <f t="shared" si="5"/>
        <v>BRIDGET OKYERE</v>
      </c>
      <c r="L31" s="40">
        <f t="shared" si="6"/>
        <v>14</v>
      </c>
      <c r="M31" s="40">
        <f t="shared" si="7"/>
        <v>8</v>
      </c>
      <c r="N31" s="38" t="str">
        <f t="shared" si="8"/>
        <v>re</v>
      </c>
      <c r="O31" s="38" t="str">
        <f t="shared" si="9"/>
        <v>Bridget</v>
      </c>
      <c r="P31" s="38" t="str">
        <f t="shared" si="10"/>
        <v>Okyere</v>
      </c>
      <c r="Q31" s="41" t="str">
        <f t="shared" si="11"/>
        <v>Bridget_Okyere@gmail.com</v>
      </c>
    </row>
    <row r="32" spans="3:17" x14ac:dyDescent="0.45">
      <c r="C32" s="54" t="s">
        <v>174</v>
      </c>
      <c r="D32" s="55" t="s">
        <v>175</v>
      </c>
      <c r="E32" s="38" t="str">
        <f t="shared" si="0"/>
        <v>JV</v>
      </c>
      <c r="F32" s="39"/>
      <c r="G32" s="38" t="str">
        <f t="shared" si="1"/>
        <v>CE</v>
      </c>
      <c r="H32" s="38" t="str">
        <f t="shared" si="2"/>
        <v>CEcilia esi</v>
      </c>
      <c r="I32" s="38" t="str">
        <f t="shared" si="3"/>
        <v>cecilia esi</v>
      </c>
      <c r="J32" s="38" t="str">
        <f t="shared" si="4"/>
        <v>Cecilia Esi</v>
      </c>
      <c r="K32" s="38" t="str">
        <f t="shared" si="5"/>
        <v>CECILIA ESI</v>
      </c>
      <c r="L32" s="40">
        <f t="shared" si="6"/>
        <v>11</v>
      </c>
      <c r="M32" s="40">
        <f t="shared" si="7"/>
        <v>8</v>
      </c>
      <c r="N32" s="38" t="str">
        <f t="shared" si="8"/>
        <v>si</v>
      </c>
      <c r="O32" s="38" t="str">
        <f t="shared" si="9"/>
        <v>Cecilia</v>
      </c>
      <c r="P32" s="38" t="str">
        <f t="shared" si="10"/>
        <v>Esi</v>
      </c>
      <c r="Q32" s="41" t="str">
        <f t="shared" si="11"/>
        <v>Cecilia_Esi@gmail.com</v>
      </c>
    </row>
    <row r="33" spans="3:17" x14ac:dyDescent="0.45">
      <c r="C33" s="54" t="s">
        <v>176</v>
      </c>
      <c r="D33" s="55" t="s">
        <v>177</v>
      </c>
      <c r="E33" s="38" t="str">
        <f t="shared" si="0"/>
        <v>SD</v>
      </c>
      <c r="F33" s="39"/>
      <c r="G33" s="38" t="str">
        <f t="shared" si="1"/>
        <v>MI</v>
      </c>
      <c r="H33" s="38" t="str">
        <f t="shared" si="2"/>
        <v>Michael GyaSI</v>
      </c>
      <c r="I33" s="38" t="str">
        <f t="shared" si="3"/>
        <v>michael gyasi</v>
      </c>
      <c r="J33" s="38" t="str">
        <f t="shared" si="4"/>
        <v>Michael Gyasi</v>
      </c>
      <c r="K33" s="38" t="str">
        <f t="shared" si="5"/>
        <v>MICHAEL GYASI</v>
      </c>
      <c r="L33" s="40">
        <f t="shared" si="6"/>
        <v>13</v>
      </c>
      <c r="M33" s="40">
        <f t="shared" si="7"/>
        <v>8</v>
      </c>
      <c r="N33" s="38" t="str">
        <f t="shared" si="8"/>
        <v>si</v>
      </c>
      <c r="O33" s="38" t="str">
        <f t="shared" si="9"/>
        <v>Michael</v>
      </c>
      <c r="P33" s="38" t="str">
        <f t="shared" si="10"/>
        <v>Gyasi</v>
      </c>
      <c r="Q33" s="41" t="str">
        <f t="shared" si="11"/>
        <v>Michael_Gyasi@gmail.com</v>
      </c>
    </row>
    <row r="34" spans="3:17" x14ac:dyDescent="0.45">
      <c r="C34" s="54" t="s">
        <v>178</v>
      </c>
      <c r="D34" s="55" t="s">
        <v>179</v>
      </c>
      <c r="E34" s="38" t="str">
        <f t="shared" si="0"/>
        <v>RT</v>
      </c>
      <c r="F34" s="39"/>
      <c r="G34" s="38" t="str">
        <f t="shared" si="1"/>
        <v>EL</v>
      </c>
      <c r="H34" s="38" t="str">
        <f t="shared" si="2"/>
        <v>EloRm Nartey</v>
      </c>
      <c r="I34" s="38" t="str">
        <f t="shared" si="3"/>
        <v>elorm nartey</v>
      </c>
      <c r="J34" s="38" t="str">
        <f t="shared" si="4"/>
        <v>Elorm Nartey</v>
      </c>
      <c r="K34" s="38" t="str">
        <f t="shared" si="5"/>
        <v>ELORM NARTEY</v>
      </c>
      <c r="L34" s="40">
        <f t="shared" si="6"/>
        <v>12</v>
      </c>
      <c r="M34" s="40">
        <f t="shared" si="7"/>
        <v>6</v>
      </c>
      <c r="N34" s="38" t="str">
        <f t="shared" si="8"/>
        <v>ey</v>
      </c>
      <c r="O34" s="38" t="str">
        <f t="shared" si="9"/>
        <v>Elorm</v>
      </c>
      <c r="P34" s="38" t="str">
        <f t="shared" si="10"/>
        <v>Nartey</v>
      </c>
      <c r="Q34" s="41" t="str">
        <f t="shared" si="11"/>
        <v>Elorm_Nartey@gmail.com</v>
      </c>
    </row>
    <row r="35" spans="3:17" x14ac:dyDescent="0.45">
      <c r="C35" s="54" t="s">
        <v>180</v>
      </c>
      <c r="D35" s="55" t="s">
        <v>181</v>
      </c>
      <c r="E35" s="38" t="str">
        <f t="shared" si="0"/>
        <v>RT</v>
      </c>
      <c r="F35" s="39"/>
      <c r="G35" s="38" t="str">
        <f t="shared" si="1"/>
        <v>PE</v>
      </c>
      <c r="H35" s="38" t="str">
        <f t="shared" si="2"/>
        <v>peter ankOma</v>
      </c>
      <c r="I35" s="38" t="str">
        <f t="shared" si="3"/>
        <v>peter ankoma</v>
      </c>
      <c r="J35" s="38" t="str">
        <f t="shared" si="4"/>
        <v>Peter Ankoma</v>
      </c>
      <c r="K35" s="38" t="str">
        <f t="shared" si="5"/>
        <v>PETER ANKOMA</v>
      </c>
      <c r="L35" s="40">
        <f t="shared" si="6"/>
        <v>12</v>
      </c>
      <c r="M35" s="40">
        <f t="shared" si="7"/>
        <v>6</v>
      </c>
      <c r="N35" s="38" t="str">
        <f t="shared" si="8"/>
        <v>ma</v>
      </c>
      <c r="O35" s="38" t="str">
        <f t="shared" si="9"/>
        <v>Peter</v>
      </c>
      <c r="P35" s="38" t="str">
        <f t="shared" si="10"/>
        <v>Ankoma</v>
      </c>
      <c r="Q35" s="41" t="str">
        <f t="shared" si="11"/>
        <v>Peter_Ankoma@gmail.com</v>
      </c>
    </row>
    <row r="36" spans="3:17" x14ac:dyDescent="0.45">
      <c r="C36" s="54" t="s">
        <v>182</v>
      </c>
      <c r="D36" s="55" t="s">
        <v>183</v>
      </c>
      <c r="E36" s="38" t="str">
        <f t="shared" si="0"/>
        <v>RT</v>
      </c>
      <c r="F36" s="39"/>
      <c r="G36" s="38" t="str">
        <f t="shared" si="1"/>
        <v>LO</v>
      </c>
      <c r="H36" s="38" t="str">
        <f t="shared" si="2"/>
        <v>lovelyn Bentil</v>
      </c>
      <c r="I36" s="38" t="str">
        <f t="shared" si="3"/>
        <v>lovelyn bentil</v>
      </c>
      <c r="J36" s="38" t="str">
        <f t="shared" si="4"/>
        <v>Lovelyn Bentil</v>
      </c>
      <c r="K36" s="38" t="str">
        <f t="shared" si="5"/>
        <v>LOVELYN BENTIL</v>
      </c>
      <c r="L36" s="40">
        <f t="shared" si="6"/>
        <v>14</v>
      </c>
      <c r="M36" s="40">
        <f t="shared" si="7"/>
        <v>8</v>
      </c>
      <c r="N36" s="38" t="str">
        <f t="shared" si="8"/>
        <v>il</v>
      </c>
      <c r="O36" s="38" t="str">
        <f t="shared" si="9"/>
        <v>Lovelyn</v>
      </c>
      <c r="P36" s="38" t="str">
        <f t="shared" si="10"/>
        <v>Bentil</v>
      </c>
      <c r="Q36" s="41" t="str">
        <f t="shared" si="11"/>
        <v>Lovelyn_Bentil@gmail.com</v>
      </c>
    </row>
    <row r="37" spans="3:17" x14ac:dyDescent="0.45">
      <c r="C37" s="54" t="s">
        <v>184</v>
      </c>
      <c r="D37" s="55" t="s">
        <v>185</v>
      </c>
      <c r="E37" s="38" t="str">
        <f t="shared" si="0"/>
        <v>PN</v>
      </c>
      <c r="F37" s="39"/>
      <c r="G37" s="38" t="str">
        <f t="shared" si="1"/>
        <v>OS</v>
      </c>
      <c r="H37" s="38" t="str">
        <f t="shared" si="2"/>
        <v>Osei Bonsu</v>
      </c>
      <c r="I37" s="38" t="str">
        <f t="shared" si="3"/>
        <v>osei bonsu</v>
      </c>
      <c r="J37" s="38" t="str">
        <f t="shared" si="4"/>
        <v>Osei Bonsu</v>
      </c>
      <c r="K37" s="38" t="str">
        <f t="shared" si="5"/>
        <v>OSEI BONSU</v>
      </c>
      <c r="L37" s="40">
        <f t="shared" si="6"/>
        <v>10</v>
      </c>
      <c r="M37" s="40">
        <f t="shared" si="7"/>
        <v>5</v>
      </c>
      <c r="N37" s="38" t="str">
        <f t="shared" si="8"/>
        <v>su</v>
      </c>
      <c r="O37" s="38" t="str">
        <f t="shared" si="9"/>
        <v>Osei</v>
      </c>
      <c r="P37" s="38" t="str">
        <f t="shared" si="10"/>
        <v>Bonsu</v>
      </c>
      <c r="Q37" s="41" t="str">
        <f t="shared" si="11"/>
        <v>Osei_Bonsu@gmail.com</v>
      </c>
    </row>
    <row r="38" spans="3:17" x14ac:dyDescent="0.45">
      <c r="C38" s="54" t="s">
        <v>186</v>
      </c>
      <c r="D38" s="55" t="s">
        <v>187</v>
      </c>
      <c r="E38" s="38" t="str">
        <f t="shared" si="0"/>
        <v>SD</v>
      </c>
      <c r="F38" s="39"/>
      <c r="G38" s="38" t="str">
        <f t="shared" si="1"/>
        <v>SE</v>
      </c>
      <c r="H38" s="38" t="str">
        <f t="shared" si="2"/>
        <v>SeloRm Addo</v>
      </c>
      <c r="I38" s="38" t="str">
        <f t="shared" si="3"/>
        <v>selorm addo</v>
      </c>
      <c r="J38" s="38" t="str">
        <f t="shared" si="4"/>
        <v>Selorm Addo</v>
      </c>
      <c r="K38" s="38" t="str">
        <f t="shared" si="5"/>
        <v>SELORM ADDO</v>
      </c>
      <c r="L38" s="40">
        <f t="shared" si="6"/>
        <v>11</v>
      </c>
      <c r="M38" s="40">
        <f t="shared" si="7"/>
        <v>7</v>
      </c>
      <c r="N38" s="38" t="str">
        <f t="shared" si="8"/>
        <v>do</v>
      </c>
      <c r="O38" s="38" t="str">
        <f t="shared" si="9"/>
        <v>Selorm</v>
      </c>
      <c r="P38" s="38" t="str">
        <f t="shared" si="10"/>
        <v>Addo</v>
      </c>
      <c r="Q38" s="41" t="str">
        <f t="shared" si="11"/>
        <v>Selorm_Addo@gmail.com</v>
      </c>
    </row>
    <row r="39" spans="3:17" x14ac:dyDescent="0.45">
      <c r="C39" s="54" t="s">
        <v>188</v>
      </c>
      <c r="D39" s="55" t="s">
        <v>189</v>
      </c>
      <c r="E39" s="38" t="str">
        <f t="shared" si="0"/>
        <v>JV</v>
      </c>
      <c r="F39" s="39"/>
      <c r="G39" s="38" t="str">
        <f t="shared" si="1"/>
        <v>MI</v>
      </c>
      <c r="H39" s="38" t="str">
        <f t="shared" si="2"/>
        <v>michael Bamfo</v>
      </c>
      <c r="I39" s="38" t="str">
        <f t="shared" si="3"/>
        <v>michael bamfo</v>
      </c>
      <c r="J39" s="38" t="str">
        <f t="shared" si="4"/>
        <v>Michael Bamfo</v>
      </c>
      <c r="K39" s="38" t="str">
        <f t="shared" si="5"/>
        <v>MICHAEL BAMFO</v>
      </c>
      <c r="L39" s="40">
        <f t="shared" si="6"/>
        <v>13</v>
      </c>
      <c r="M39" s="40">
        <f t="shared" si="7"/>
        <v>8</v>
      </c>
      <c r="N39" s="38" t="str">
        <f t="shared" si="8"/>
        <v>fo</v>
      </c>
      <c r="O39" s="38" t="str">
        <f t="shared" si="9"/>
        <v>Michael</v>
      </c>
      <c r="P39" s="38" t="str">
        <f t="shared" si="10"/>
        <v>Bamfo</v>
      </c>
      <c r="Q39" s="41" t="str">
        <f t="shared" si="11"/>
        <v>Michael_Bamfo@gmail.com</v>
      </c>
    </row>
    <row r="40" spans="3:17" x14ac:dyDescent="0.45">
      <c r="C40" s="54" t="s">
        <v>190</v>
      </c>
      <c r="D40" s="55" t="s">
        <v>191</v>
      </c>
      <c r="E40" s="38" t="str">
        <f t="shared" si="0"/>
        <v>SD</v>
      </c>
      <c r="F40" s="39"/>
      <c r="G40" s="38" t="str">
        <f t="shared" si="1"/>
        <v>ER</v>
      </c>
      <c r="H40" s="38" t="str">
        <f t="shared" si="2"/>
        <v>Ernestina dArko</v>
      </c>
      <c r="I40" s="38" t="str">
        <f t="shared" si="3"/>
        <v>ernestina darko</v>
      </c>
      <c r="J40" s="38" t="str">
        <f t="shared" si="4"/>
        <v>Ernestina Darko</v>
      </c>
      <c r="K40" s="38" t="str">
        <f t="shared" si="5"/>
        <v>ERNESTINA DARKO</v>
      </c>
      <c r="L40" s="40">
        <f t="shared" si="6"/>
        <v>15</v>
      </c>
      <c r="M40" s="40">
        <f t="shared" si="7"/>
        <v>10</v>
      </c>
      <c r="N40" s="38" t="str">
        <f t="shared" si="8"/>
        <v>ko</v>
      </c>
      <c r="O40" s="38" t="str">
        <f t="shared" si="9"/>
        <v>Ernestina</v>
      </c>
      <c r="P40" s="38" t="str">
        <f t="shared" si="10"/>
        <v>Darko</v>
      </c>
      <c r="Q40" s="41" t="str">
        <f t="shared" si="11"/>
        <v>Ernestina_Darko@gmail.com</v>
      </c>
    </row>
    <row r="41" spans="3:17" x14ac:dyDescent="0.45">
      <c r="C41" s="54" t="s">
        <v>192</v>
      </c>
      <c r="D41" s="55" t="s">
        <v>86</v>
      </c>
      <c r="E41" s="38" t="str">
        <f t="shared" si="0"/>
        <v>PN</v>
      </c>
      <c r="F41" s="39"/>
      <c r="G41" s="38" t="str">
        <f t="shared" si="1"/>
        <v>KR</v>
      </c>
      <c r="H41" s="38" t="str">
        <f t="shared" si="2"/>
        <v>Krobo Edusei</v>
      </c>
      <c r="I41" s="38" t="str">
        <f t="shared" si="3"/>
        <v>krobo edusei</v>
      </c>
      <c r="J41" s="38" t="str">
        <f t="shared" si="4"/>
        <v>Krobo Edusei</v>
      </c>
      <c r="K41" s="38" t="str">
        <f t="shared" si="5"/>
        <v>KROBO EDUSEI</v>
      </c>
      <c r="L41" s="40">
        <f t="shared" si="6"/>
        <v>12</v>
      </c>
      <c r="M41" s="40">
        <f t="shared" si="7"/>
        <v>6</v>
      </c>
      <c r="N41" s="38" t="str">
        <f t="shared" si="8"/>
        <v>ei</v>
      </c>
      <c r="O41" s="38" t="str">
        <f t="shared" si="9"/>
        <v>Krobo</v>
      </c>
      <c r="P41" s="38" t="str">
        <f t="shared" si="10"/>
        <v>Edusei</v>
      </c>
      <c r="Q41" s="41" t="str">
        <f t="shared" si="11"/>
        <v>Krobo_Edusei@gmail.com</v>
      </c>
    </row>
    <row r="42" spans="3:17" x14ac:dyDescent="0.45">
      <c r="C42" s="54" t="s">
        <v>193</v>
      </c>
      <c r="D42" s="55" t="s">
        <v>87</v>
      </c>
      <c r="E42" s="38" t="str">
        <f t="shared" si="0"/>
        <v>PN</v>
      </c>
      <c r="F42" s="39"/>
      <c r="G42" s="38" t="str">
        <f t="shared" si="1"/>
        <v>MA</v>
      </c>
      <c r="H42" s="38" t="str">
        <f t="shared" si="2"/>
        <v>Martina Mensah</v>
      </c>
      <c r="I42" s="38" t="str">
        <f t="shared" si="3"/>
        <v>martina mensah</v>
      </c>
      <c r="J42" s="38" t="str">
        <f t="shared" si="4"/>
        <v>Martina Mensah</v>
      </c>
      <c r="K42" s="38" t="str">
        <f t="shared" si="5"/>
        <v>MARTINA MENSAH</v>
      </c>
      <c r="L42" s="40">
        <f t="shared" si="6"/>
        <v>14</v>
      </c>
      <c r="M42" s="40">
        <f t="shared" si="7"/>
        <v>8</v>
      </c>
      <c r="N42" s="38" t="str">
        <f t="shared" si="8"/>
        <v>ah</v>
      </c>
      <c r="O42" s="38" t="str">
        <f t="shared" si="9"/>
        <v>Martina</v>
      </c>
      <c r="P42" s="38" t="str">
        <f t="shared" si="10"/>
        <v>Mensah</v>
      </c>
      <c r="Q42" s="41" t="str">
        <f t="shared" si="11"/>
        <v>Martina_Mensah@gmail.com</v>
      </c>
    </row>
    <row r="43" spans="3:17" x14ac:dyDescent="0.45">
      <c r="C43" s="54" t="s">
        <v>194</v>
      </c>
      <c r="D43" s="55" t="s">
        <v>195</v>
      </c>
      <c r="E43" s="38" t="str">
        <f t="shared" si="0"/>
        <v>JV</v>
      </c>
      <c r="F43" s="39"/>
      <c r="G43" s="38" t="str">
        <f t="shared" si="1"/>
        <v>AK</v>
      </c>
      <c r="H43" s="38" t="str">
        <f t="shared" si="2"/>
        <v>Akua BOAtemaa</v>
      </c>
      <c r="I43" s="38" t="str">
        <f t="shared" si="3"/>
        <v>akua boatemaa</v>
      </c>
      <c r="J43" s="38" t="str">
        <f t="shared" si="4"/>
        <v>Akua Boatemaa</v>
      </c>
      <c r="K43" s="38" t="str">
        <f t="shared" si="5"/>
        <v>AKUA BOATEMAA</v>
      </c>
      <c r="L43" s="40">
        <f t="shared" si="6"/>
        <v>13</v>
      </c>
      <c r="M43" s="40">
        <f t="shared" si="7"/>
        <v>5</v>
      </c>
      <c r="N43" s="38" t="str">
        <f t="shared" si="8"/>
        <v>aa</v>
      </c>
      <c r="O43" s="38" t="str">
        <f t="shared" si="9"/>
        <v>Akua</v>
      </c>
      <c r="P43" s="38" t="str">
        <f t="shared" si="10"/>
        <v>Boatemaa</v>
      </c>
      <c r="Q43" s="41" t="str">
        <f t="shared" si="11"/>
        <v>Akua_Boatemaa@gmail.com</v>
      </c>
    </row>
    <row r="44" spans="3:17" x14ac:dyDescent="0.45">
      <c r="C44" s="54" t="s">
        <v>196</v>
      </c>
      <c r="D44" s="55" t="s">
        <v>197</v>
      </c>
      <c r="E44" s="38" t="str">
        <f t="shared" si="0"/>
        <v>PN</v>
      </c>
      <c r="F44" s="39"/>
      <c r="G44" s="38" t="str">
        <f t="shared" si="1"/>
        <v>TE</v>
      </c>
      <c r="H44" s="38" t="str">
        <f t="shared" si="2"/>
        <v>tetteyfio Akuyoo</v>
      </c>
      <c r="I44" s="38" t="str">
        <f t="shared" si="3"/>
        <v>tetteyfio akuyoo</v>
      </c>
      <c r="J44" s="38" t="str">
        <f t="shared" si="4"/>
        <v>Tetteyfio Akuyoo</v>
      </c>
      <c r="K44" s="38" t="str">
        <f t="shared" si="5"/>
        <v>TETTEYFIO AKUYOO</v>
      </c>
      <c r="L44" s="40">
        <f t="shared" si="6"/>
        <v>16</v>
      </c>
      <c r="M44" s="40">
        <f t="shared" si="7"/>
        <v>10</v>
      </c>
      <c r="N44" s="38" t="str">
        <f t="shared" si="8"/>
        <v>oo</v>
      </c>
      <c r="O44" s="38" t="str">
        <f t="shared" si="9"/>
        <v>Tetteyfio</v>
      </c>
      <c r="P44" s="38" t="str">
        <f t="shared" si="10"/>
        <v>Akuyoo</v>
      </c>
      <c r="Q44" s="41" t="str">
        <f t="shared" si="11"/>
        <v>Tetteyfio_Akuyoo@gmail.com</v>
      </c>
    </row>
    <row r="45" spans="3:17" x14ac:dyDescent="0.45">
      <c r="C45" s="54" t="s">
        <v>198</v>
      </c>
      <c r="D45" s="55" t="s">
        <v>199</v>
      </c>
      <c r="E45" s="38" t="str">
        <f t="shared" si="0"/>
        <v>SD</v>
      </c>
      <c r="F45" s="39"/>
      <c r="G45" s="38" t="str">
        <f t="shared" si="1"/>
        <v>AN</v>
      </c>
      <c r="H45" s="38" t="str">
        <f t="shared" si="2"/>
        <v>antwi Frimpong</v>
      </c>
      <c r="I45" s="38" t="str">
        <f t="shared" si="3"/>
        <v>antwi frimpong</v>
      </c>
      <c r="J45" s="38" t="str">
        <f t="shared" si="4"/>
        <v>Antwi Frimpong</v>
      </c>
      <c r="K45" s="38" t="str">
        <f t="shared" si="5"/>
        <v>ANTWI FRIMPONG</v>
      </c>
      <c r="L45" s="40">
        <f t="shared" si="6"/>
        <v>14</v>
      </c>
      <c r="M45" s="40">
        <f t="shared" si="7"/>
        <v>6</v>
      </c>
      <c r="N45" s="38" t="str">
        <f t="shared" si="8"/>
        <v>ng</v>
      </c>
      <c r="O45" s="38" t="str">
        <f t="shared" si="9"/>
        <v>Antwi</v>
      </c>
      <c r="P45" s="38" t="str">
        <f t="shared" si="10"/>
        <v>Frimpong</v>
      </c>
      <c r="Q45" s="41" t="str">
        <f t="shared" si="11"/>
        <v>Antwi_Frimpong@gmail.com</v>
      </c>
    </row>
    <row r="46" spans="3:17" x14ac:dyDescent="0.45">
      <c r="C46" s="54" t="s">
        <v>200</v>
      </c>
      <c r="D46" s="55" t="s">
        <v>201</v>
      </c>
      <c r="E46" s="38" t="str">
        <f t="shared" si="0"/>
        <v>SD</v>
      </c>
      <c r="F46" s="39"/>
      <c r="G46" s="38" t="str">
        <f t="shared" si="1"/>
        <v>AB</v>
      </c>
      <c r="H46" s="38" t="str">
        <f t="shared" si="2"/>
        <v>Abdul rawUf</v>
      </c>
      <c r="I46" s="38" t="str">
        <f t="shared" si="3"/>
        <v>abdul rawuf</v>
      </c>
      <c r="J46" s="38" t="str">
        <f t="shared" si="4"/>
        <v>Abdul Rawuf</v>
      </c>
      <c r="K46" s="38" t="str">
        <f t="shared" si="5"/>
        <v>ABDUL RAWUF</v>
      </c>
      <c r="L46" s="40">
        <f t="shared" si="6"/>
        <v>11</v>
      </c>
      <c r="M46" s="40">
        <f t="shared" si="7"/>
        <v>6</v>
      </c>
      <c r="N46" s="38" t="str">
        <f t="shared" si="8"/>
        <v>uf</v>
      </c>
      <c r="O46" s="38" t="str">
        <f t="shared" si="9"/>
        <v>Abdul</v>
      </c>
      <c r="P46" s="38" t="str">
        <f t="shared" si="10"/>
        <v>Rawuf</v>
      </c>
      <c r="Q46" s="41" t="str">
        <f t="shared" si="11"/>
        <v>Abdul_Rawuf@gmail.com</v>
      </c>
    </row>
    <row r="47" spans="3:17" x14ac:dyDescent="0.45">
      <c r="C47" s="54" t="s">
        <v>202</v>
      </c>
      <c r="D47" s="55" t="s">
        <v>203</v>
      </c>
      <c r="E47" s="38" t="str">
        <f t="shared" si="0"/>
        <v>PN</v>
      </c>
      <c r="F47" s="39"/>
      <c r="G47" s="38" t="str">
        <f t="shared" si="1"/>
        <v>NA</v>
      </c>
      <c r="H47" s="38" t="str">
        <f t="shared" si="2"/>
        <v>Nana yaa</v>
      </c>
      <c r="I47" s="38" t="str">
        <f t="shared" si="3"/>
        <v>nana yaa</v>
      </c>
      <c r="J47" s="38" t="str">
        <f t="shared" si="4"/>
        <v>Nana Yaa</v>
      </c>
      <c r="K47" s="38" t="str">
        <f t="shared" si="5"/>
        <v>NANA YAA</v>
      </c>
      <c r="L47" s="40">
        <f t="shared" si="6"/>
        <v>8</v>
      </c>
      <c r="M47" s="40">
        <f t="shared" si="7"/>
        <v>5</v>
      </c>
      <c r="N47" s="38" t="str">
        <f t="shared" si="8"/>
        <v>aa</v>
      </c>
      <c r="O47" s="38" t="str">
        <f t="shared" si="9"/>
        <v>Nana</v>
      </c>
      <c r="P47" s="38" t="str">
        <f t="shared" si="10"/>
        <v>Yaa</v>
      </c>
      <c r="Q47" s="41" t="str">
        <f t="shared" si="11"/>
        <v>Nana_Yaa@gmail.com</v>
      </c>
    </row>
    <row r="48" spans="3:17" x14ac:dyDescent="0.45">
      <c r="C48" s="54" t="s">
        <v>204</v>
      </c>
      <c r="D48" s="55" t="s">
        <v>205</v>
      </c>
      <c r="E48" s="38" t="str">
        <f t="shared" si="0"/>
        <v>JV</v>
      </c>
      <c r="F48" s="39"/>
      <c r="G48" s="38" t="str">
        <f t="shared" si="1"/>
        <v>OW</v>
      </c>
      <c r="H48" s="38" t="str">
        <f t="shared" si="2"/>
        <v>owuSu sekyere</v>
      </c>
      <c r="I48" s="38" t="str">
        <f t="shared" si="3"/>
        <v>owusu sekyere</v>
      </c>
      <c r="J48" s="38" t="str">
        <f t="shared" si="4"/>
        <v>Owusu Sekyere</v>
      </c>
      <c r="K48" s="38" t="str">
        <f t="shared" si="5"/>
        <v>OWUSU SEKYERE</v>
      </c>
      <c r="L48" s="40">
        <f t="shared" si="6"/>
        <v>13</v>
      </c>
      <c r="M48" s="40">
        <f t="shared" si="7"/>
        <v>6</v>
      </c>
      <c r="N48" s="38" t="str">
        <f t="shared" si="8"/>
        <v>re</v>
      </c>
      <c r="O48" s="38" t="str">
        <f t="shared" si="9"/>
        <v>Owusu</v>
      </c>
      <c r="P48" s="38" t="str">
        <f t="shared" si="10"/>
        <v>Sekyere</v>
      </c>
      <c r="Q48" s="41" t="str">
        <f t="shared" si="11"/>
        <v>Owusu_Sekyere@gmail.com</v>
      </c>
    </row>
    <row r="49" spans="3:17" x14ac:dyDescent="0.45">
      <c r="C49" s="54" t="s">
        <v>206</v>
      </c>
      <c r="D49" s="55" t="s">
        <v>207</v>
      </c>
      <c r="E49" s="38" t="str">
        <f t="shared" si="0"/>
        <v>SD</v>
      </c>
      <c r="F49" s="39"/>
      <c r="G49" s="38" t="str">
        <f t="shared" si="1"/>
        <v>ER</v>
      </c>
      <c r="H49" s="38" t="str">
        <f t="shared" si="2"/>
        <v>erica Ntiamoah</v>
      </c>
      <c r="I49" s="38" t="str">
        <f t="shared" si="3"/>
        <v>erica ntiamoah</v>
      </c>
      <c r="J49" s="38" t="str">
        <f t="shared" si="4"/>
        <v>Erica Ntiamoah</v>
      </c>
      <c r="K49" s="38" t="str">
        <f t="shared" si="5"/>
        <v>ERICA NTIAMOAH</v>
      </c>
      <c r="L49" s="40">
        <f t="shared" si="6"/>
        <v>14</v>
      </c>
      <c r="M49" s="40">
        <f t="shared" si="7"/>
        <v>6</v>
      </c>
      <c r="N49" s="38" t="str">
        <f t="shared" si="8"/>
        <v>ah</v>
      </c>
      <c r="O49" s="38" t="str">
        <f t="shared" si="9"/>
        <v>Erica</v>
      </c>
      <c r="P49" s="38" t="str">
        <f t="shared" si="10"/>
        <v>Ntiamoah</v>
      </c>
      <c r="Q49" s="41" t="str">
        <f t="shared" si="11"/>
        <v>Erica_Ntiamoah@gmail.com</v>
      </c>
    </row>
    <row r="50" spans="3:17" x14ac:dyDescent="0.45">
      <c r="C50" s="54" t="s">
        <v>208</v>
      </c>
      <c r="D50" s="55" t="s">
        <v>209</v>
      </c>
      <c r="E50" s="38" t="str">
        <f t="shared" si="0"/>
        <v>PN</v>
      </c>
      <c r="F50" s="39"/>
      <c r="G50" s="38" t="str">
        <f t="shared" si="1"/>
        <v>CH</v>
      </c>
      <c r="H50" s="38" t="str">
        <f t="shared" si="2"/>
        <v>Christopher brucE</v>
      </c>
      <c r="I50" s="38" t="str">
        <f t="shared" si="3"/>
        <v>christopher bruce</v>
      </c>
      <c r="J50" s="38" t="str">
        <f t="shared" si="4"/>
        <v>Christopher Bruce</v>
      </c>
      <c r="K50" s="38" t="str">
        <f t="shared" si="5"/>
        <v>CHRISTOPHER BRUCE</v>
      </c>
      <c r="L50" s="40">
        <f t="shared" si="6"/>
        <v>17</v>
      </c>
      <c r="M50" s="40">
        <f t="shared" si="7"/>
        <v>12</v>
      </c>
      <c r="N50" s="38" t="str">
        <f t="shared" si="8"/>
        <v>ce</v>
      </c>
      <c r="O50" s="38" t="str">
        <f t="shared" si="9"/>
        <v>Christopher</v>
      </c>
      <c r="P50" s="38" t="str">
        <f t="shared" si="10"/>
        <v>Bruce</v>
      </c>
      <c r="Q50" s="41" t="str">
        <f t="shared" si="11"/>
        <v>Christopher_Bruce@gmail.com</v>
      </c>
    </row>
    <row r="51" spans="3:17" x14ac:dyDescent="0.45">
      <c r="C51" s="54" t="s">
        <v>210</v>
      </c>
      <c r="D51" s="55" t="s">
        <v>211</v>
      </c>
      <c r="E51" s="38" t="str">
        <f t="shared" si="0"/>
        <v>PN</v>
      </c>
      <c r="F51" s="39"/>
      <c r="G51" s="38" t="str">
        <f t="shared" si="1"/>
        <v>TH</v>
      </c>
      <c r="H51" s="38" t="str">
        <f t="shared" si="2"/>
        <v>thomas Asante</v>
      </c>
      <c r="I51" s="38" t="str">
        <f t="shared" si="3"/>
        <v>thomas asante</v>
      </c>
      <c r="J51" s="38" t="str">
        <f t="shared" si="4"/>
        <v>Thomas Asante</v>
      </c>
      <c r="K51" s="38" t="str">
        <f t="shared" si="5"/>
        <v>THOMAS ASANTE</v>
      </c>
      <c r="L51" s="40">
        <f t="shared" si="6"/>
        <v>13</v>
      </c>
      <c r="M51" s="40">
        <f t="shared" si="7"/>
        <v>7</v>
      </c>
      <c r="N51" s="38" t="str">
        <f t="shared" si="8"/>
        <v>te</v>
      </c>
      <c r="O51" s="38" t="str">
        <f t="shared" si="9"/>
        <v>Thomas</v>
      </c>
      <c r="P51" s="38" t="str">
        <f t="shared" si="10"/>
        <v>Asante</v>
      </c>
      <c r="Q51" s="41" t="str">
        <f t="shared" si="11"/>
        <v>Thomas_Asante@gmail.com</v>
      </c>
    </row>
    <row r="52" spans="3:17" x14ac:dyDescent="0.45">
      <c r="C52" s="54" t="s">
        <v>212</v>
      </c>
      <c r="D52" s="55" t="s">
        <v>213</v>
      </c>
      <c r="E52" s="38" t="str">
        <f t="shared" si="0"/>
        <v>RT</v>
      </c>
      <c r="F52" s="39"/>
      <c r="G52" s="38" t="str">
        <f t="shared" si="1"/>
        <v>AD</v>
      </c>
      <c r="H52" s="38" t="str">
        <f t="shared" si="2"/>
        <v>Adams grANT</v>
      </c>
      <c r="I52" s="38" t="str">
        <f t="shared" si="3"/>
        <v>adams grant</v>
      </c>
      <c r="J52" s="38" t="str">
        <f t="shared" si="4"/>
        <v>Adams Grant</v>
      </c>
      <c r="K52" s="38" t="str">
        <f t="shared" si="5"/>
        <v>ADAMS GRANT</v>
      </c>
      <c r="L52" s="40">
        <f t="shared" si="6"/>
        <v>11</v>
      </c>
      <c r="M52" s="40">
        <f t="shared" si="7"/>
        <v>6</v>
      </c>
      <c r="N52" s="38" t="str">
        <f t="shared" si="8"/>
        <v>nt</v>
      </c>
      <c r="O52" s="38" t="str">
        <f t="shared" si="9"/>
        <v>Adams</v>
      </c>
      <c r="P52" s="38" t="str">
        <f t="shared" si="10"/>
        <v>Grant</v>
      </c>
      <c r="Q52" s="41" t="str">
        <f t="shared" si="11"/>
        <v>Adams_Grant@gmail.com</v>
      </c>
    </row>
    <row r="53" spans="3:17" x14ac:dyDescent="0.45">
      <c r="C53" s="54" t="s">
        <v>214</v>
      </c>
      <c r="D53" s="55" t="s">
        <v>215</v>
      </c>
      <c r="E53" s="38" t="str">
        <f t="shared" si="0"/>
        <v>PN</v>
      </c>
      <c r="F53" s="39"/>
      <c r="G53" s="38" t="str">
        <f t="shared" si="1"/>
        <v>ER</v>
      </c>
      <c r="H53" s="38" t="str">
        <f t="shared" si="2"/>
        <v>Ernestina COFIE</v>
      </c>
      <c r="I53" s="38" t="str">
        <f t="shared" si="3"/>
        <v>ernestina cofie</v>
      </c>
      <c r="J53" s="38" t="str">
        <f t="shared" si="4"/>
        <v>Ernestina Cofie</v>
      </c>
      <c r="K53" s="38" t="str">
        <f t="shared" si="5"/>
        <v>ERNESTINA COFIE</v>
      </c>
      <c r="L53" s="40">
        <f t="shared" si="6"/>
        <v>15</v>
      </c>
      <c r="M53" s="40">
        <f t="shared" si="7"/>
        <v>10</v>
      </c>
      <c r="N53" s="38" t="str">
        <f t="shared" si="8"/>
        <v>ie</v>
      </c>
      <c r="O53" s="38" t="str">
        <f t="shared" si="9"/>
        <v>Ernestina</v>
      </c>
      <c r="P53" s="38" t="str">
        <f t="shared" si="10"/>
        <v>Cofie</v>
      </c>
      <c r="Q53" s="41" t="str">
        <f t="shared" si="11"/>
        <v>Ernestina_Cofie@gmail.com</v>
      </c>
    </row>
    <row r="54" spans="3:17" x14ac:dyDescent="0.45">
      <c r="C54" s="56" t="s">
        <v>216</v>
      </c>
      <c r="D54" s="57" t="s">
        <v>217</v>
      </c>
      <c r="E54" s="38" t="str">
        <f t="shared" si="0"/>
        <v>RT</v>
      </c>
      <c r="F54" s="58"/>
      <c r="G54" s="38" t="str">
        <f t="shared" si="1"/>
        <v>EB</v>
      </c>
      <c r="H54" s="38" t="str">
        <f t="shared" si="2"/>
        <v>Ebenezer doKu</v>
      </c>
      <c r="I54" s="38" t="str">
        <f t="shared" si="3"/>
        <v>ebenezer doku</v>
      </c>
      <c r="J54" s="38" t="str">
        <f t="shared" si="4"/>
        <v>Ebenezer Doku</v>
      </c>
      <c r="K54" s="38" t="str">
        <f t="shared" si="5"/>
        <v>EBENEZER DOKU</v>
      </c>
      <c r="L54" s="40">
        <f t="shared" si="6"/>
        <v>13</v>
      </c>
      <c r="M54" s="40">
        <f t="shared" si="7"/>
        <v>9</v>
      </c>
      <c r="N54" s="38" t="str">
        <f t="shared" si="8"/>
        <v>ku</v>
      </c>
      <c r="O54" s="38" t="str">
        <f t="shared" si="9"/>
        <v>Ebenezer</v>
      </c>
      <c r="P54" s="38" t="str">
        <f t="shared" si="10"/>
        <v>Doku</v>
      </c>
      <c r="Q54" s="41" t="str">
        <f t="shared" si="11"/>
        <v>Ebenezer_Doku@gmail.com</v>
      </c>
    </row>
    <row r="55" spans="3:17" x14ac:dyDescent="0.45">
      <c r="F55" s="59"/>
    </row>
  </sheetData>
  <dataValidations count="1">
    <dataValidation allowBlank="1" showInputMessage="1" sqref="Q11" xr:uid="{061C9DB6-B8F4-4A87-BFE3-2FC86C1B9FB7}"/>
  </dataValidations>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50EA7-B7B1-4D39-A94D-F849488EBB1F}">
  <sheetPr codeName="Sheet16"/>
  <dimension ref="B2:N33"/>
  <sheetViews>
    <sheetView showGridLines="0" topLeftCell="A14" workbookViewId="0">
      <selection activeCell="H23" sqref="H23"/>
    </sheetView>
  </sheetViews>
  <sheetFormatPr defaultRowHeight="14.5" x14ac:dyDescent="0.35"/>
  <cols>
    <col min="1" max="1" width="2.453125" customWidth="1"/>
    <col min="2" max="2" width="21.453125" customWidth="1"/>
    <col min="3" max="11" width="17" customWidth="1"/>
    <col min="12" max="12" width="12" customWidth="1"/>
    <col min="13" max="13" width="11.81640625" customWidth="1"/>
    <col min="14" max="14" width="23.7265625" customWidth="1"/>
  </cols>
  <sheetData>
    <row r="2" spans="2:14" x14ac:dyDescent="0.35">
      <c r="B2" s="258"/>
      <c r="C2" s="258"/>
      <c r="D2" s="258"/>
      <c r="E2" s="258"/>
      <c r="F2" s="258"/>
      <c r="G2" s="258"/>
      <c r="H2" s="258"/>
      <c r="I2" s="258"/>
      <c r="J2" s="258"/>
      <c r="K2" s="258"/>
      <c r="L2" s="258"/>
      <c r="M2" s="258"/>
      <c r="N2" s="258"/>
    </row>
    <row r="3" spans="2:14" ht="15.5" x14ac:dyDescent="0.35">
      <c r="B3" s="259" t="s">
        <v>326</v>
      </c>
      <c r="C3" s="260"/>
      <c r="D3" s="258"/>
      <c r="E3" s="258"/>
      <c r="F3" s="258"/>
      <c r="G3" s="258"/>
      <c r="H3" s="258"/>
      <c r="I3" s="258"/>
      <c r="J3" s="258"/>
      <c r="K3" s="258"/>
      <c r="L3" s="258"/>
      <c r="M3" s="258"/>
      <c r="N3" s="258"/>
    </row>
    <row r="4" spans="2:14" ht="16" x14ac:dyDescent="0.45">
      <c r="B4" s="128" t="s">
        <v>364</v>
      </c>
      <c r="C4" s="126"/>
      <c r="D4" s="126"/>
      <c r="E4" s="258"/>
      <c r="F4" s="258"/>
      <c r="G4" s="258"/>
      <c r="H4" s="258"/>
      <c r="I4" s="258"/>
      <c r="J4" s="258"/>
      <c r="K4" s="258"/>
      <c r="L4" s="258"/>
      <c r="M4" s="258"/>
      <c r="N4" s="258"/>
    </row>
    <row r="7" spans="2:14" ht="16.5" x14ac:dyDescent="0.45">
      <c r="B7" s="298" t="s">
        <v>722</v>
      </c>
    </row>
    <row r="8" spans="2:14" ht="16.5" x14ac:dyDescent="0.45">
      <c r="B8" s="298"/>
      <c r="C8" s="299"/>
      <c r="D8" s="299"/>
    </row>
    <row r="9" spans="2:14" ht="16.5" x14ac:dyDescent="0.45">
      <c r="B9" s="299" t="s">
        <v>723</v>
      </c>
      <c r="C9" s="299"/>
      <c r="D9" s="299"/>
    </row>
    <row r="10" spans="2:14" ht="16.5" x14ac:dyDescent="0.45">
      <c r="B10" s="299" t="s">
        <v>724</v>
      </c>
      <c r="C10" s="299"/>
      <c r="D10" s="299"/>
    </row>
    <row r="11" spans="2:14" ht="16.5" x14ac:dyDescent="0.45">
      <c r="B11" s="299"/>
      <c r="C11" s="299"/>
      <c r="D11" s="299"/>
      <c r="E11" s="299"/>
    </row>
    <row r="12" spans="2:14" ht="16.5" x14ac:dyDescent="0.45">
      <c r="B12" s="298" t="s">
        <v>725</v>
      </c>
      <c r="C12" s="299"/>
      <c r="D12" s="299"/>
      <c r="F12" s="299"/>
      <c r="G12" s="299"/>
      <c r="H12" s="299"/>
      <c r="I12" s="299"/>
      <c r="J12" s="299"/>
      <c r="K12" s="299"/>
    </row>
    <row r="13" spans="2:14" ht="16.5" x14ac:dyDescent="0.45">
      <c r="B13" s="299"/>
      <c r="C13" s="299"/>
      <c r="E13" s="300" t="s">
        <v>726</v>
      </c>
      <c r="G13" s="301" t="s">
        <v>16</v>
      </c>
      <c r="H13" s="299"/>
      <c r="I13" s="299"/>
      <c r="J13" s="299"/>
      <c r="K13" s="299"/>
    </row>
    <row r="14" spans="2:14" ht="16.5" x14ac:dyDescent="0.45">
      <c r="B14" s="299" t="s">
        <v>727</v>
      </c>
      <c r="C14" s="302">
        <v>4</v>
      </c>
      <c r="D14" s="299"/>
      <c r="E14" s="302">
        <v>4</v>
      </c>
      <c r="G14" s="299"/>
      <c r="H14" s="299"/>
      <c r="I14" s="299"/>
      <c r="J14" s="299"/>
      <c r="K14" s="299"/>
    </row>
    <row r="15" spans="2:14" ht="16.5" x14ac:dyDescent="0.45">
      <c r="B15" s="299" t="s">
        <v>728</v>
      </c>
      <c r="C15" s="303">
        <v>40845.070422535209</v>
      </c>
      <c r="D15" s="299"/>
      <c r="E15" s="303">
        <v>29000</v>
      </c>
      <c r="G15" s="301" t="s">
        <v>1</v>
      </c>
      <c r="H15" s="299" t="s">
        <v>729</v>
      </c>
      <c r="I15" s="299"/>
      <c r="J15" s="299"/>
      <c r="K15" s="299"/>
    </row>
    <row r="16" spans="2:14" ht="16.5" x14ac:dyDescent="0.45">
      <c r="B16" s="299" t="s">
        <v>730</v>
      </c>
      <c r="C16" s="302">
        <v>0.45</v>
      </c>
      <c r="D16" s="299"/>
      <c r="E16" s="302">
        <v>0.45</v>
      </c>
      <c r="G16" s="299"/>
      <c r="H16" s="304">
        <v>5.45</v>
      </c>
      <c r="I16" s="299"/>
      <c r="J16" s="299"/>
      <c r="K16" s="299"/>
    </row>
    <row r="17" spans="2:13" ht="16.5" x14ac:dyDescent="0.45">
      <c r="B17" s="299" t="s">
        <v>731</v>
      </c>
      <c r="C17" s="303">
        <v>45000</v>
      </c>
      <c r="D17" s="299"/>
      <c r="E17" s="303">
        <v>45000</v>
      </c>
      <c r="G17" s="299"/>
      <c r="H17" s="299"/>
      <c r="I17" s="299"/>
      <c r="J17" s="299"/>
      <c r="K17" s="299"/>
    </row>
    <row r="18" spans="2:13" ht="16.5" x14ac:dyDescent="0.45">
      <c r="B18" s="299"/>
      <c r="C18" s="299"/>
      <c r="D18" s="299"/>
      <c r="E18" s="299"/>
      <c r="G18" s="301" t="s">
        <v>2</v>
      </c>
      <c r="H18" s="299" t="s">
        <v>732</v>
      </c>
      <c r="I18" s="299"/>
      <c r="J18" s="299"/>
      <c r="K18" s="299"/>
    </row>
    <row r="19" spans="2:13" ht="16.5" x14ac:dyDescent="0.45">
      <c r="B19" s="299" t="s">
        <v>733</v>
      </c>
      <c r="C19" s="305">
        <v>100000</v>
      </c>
      <c r="D19" s="299"/>
      <c r="E19" s="305">
        <v>100000</v>
      </c>
      <c r="F19" s="299"/>
      <c r="G19" s="299"/>
      <c r="H19" s="304">
        <v>2950</v>
      </c>
      <c r="I19" s="299"/>
      <c r="J19" s="299"/>
      <c r="K19" s="299"/>
    </row>
    <row r="20" spans="2:13" ht="16.5" x14ac:dyDescent="0.45">
      <c r="D20" s="299"/>
      <c r="E20" s="299"/>
      <c r="F20" s="299"/>
      <c r="G20" s="299"/>
      <c r="H20" s="299"/>
      <c r="I20" s="299"/>
      <c r="J20" s="299"/>
      <c r="K20" s="299"/>
    </row>
    <row r="21" spans="2:13" ht="16.5" x14ac:dyDescent="0.45">
      <c r="D21" s="299"/>
      <c r="E21" s="299"/>
      <c r="F21" s="299"/>
      <c r="G21" s="301" t="s">
        <v>3</v>
      </c>
      <c r="H21" s="299" t="s">
        <v>734</v>
      </c>
      <c r="I21" s="299"/>
      <c r="J21" s="299"/>
      <c r="K21" s="299"/>
    </row>
    <row r="22" spans="2:13" ht="16.5" x14ac:dyDescent="0.45">
      <c r="B22" s="298" t="s">
        <v>735</v>
      </c>
      <c r="D22" s="299"/>
      <c r="E22" s="299"/>
      <c r="F22" s="299"/>
      <c r="G22" s="299"/>
      <c r="H22" s="304">
        <v>40845</v>
      </c>
      <c r="I22" s="299"/>
      <c r="J22" s="299"/>
      <c r="K22" s="299"/>
    </row>
    <row r="23" spans="2:13" ht="16.5" x14ac:dyDescent="0.45">
      <c r="D23" s="299"/>
      <c r="E23" s="299"/>
      <c r="F23" s="299"/>
      <c r="G23" s="299"/>
      <c r="H23" s="299"/>
      <c r="I23" s="299"/>
      <c r="J23" s="299"/>
      <c r="K23" s="299"/>
    </row>
    <row r="24" spans="2:13" ht="16.5" x14ac:dyDescent="0.45">
      <c r="B24" s="299" t="s">
        <v>736</v>
      </c>
      <c r="C24" s="306">
        <f>C15*C14</f>
        <v>163380.28169014084</v>
      </c>
      <c r="D24" s="299"/>
      <c r="E24" s="299"/>
      <c r="F24" s="299"/>
      <c r="G24" s="299"/>
      <c r="H24" s="299"/>
      <c r="I24" s="299"/>
      <c r="J24" s="299"/>
      <c r="K24" s="299"/>
    </row>
    <row r="25" spans="2:13" ht="16.5" x14ac:dyDescent="0.45">
      <c r="B25" s="299" t="s">
        <v>737</v>
      </c>
      <c r="C25" s="307">
        <f>C15*C16</f>
        <v>18380.281690140844</v>
      </c>
      <c r="D25" s="299"/>
      <c r="E25" s="299"/>
      <c r="F25" s="299"/>
      <c r="G25" s="299"/>
      <c r="H25" s="299"/>
      <c r="I25" s="299"/>
      <c r="J25" s="299"/>
      <c r="K25" s="299"/>
    </row>
    <row r="26" spans="2:13" ht="16.5" x14ac:dyDescent="0.45">
      <c r="B26" s="299" t="s">
        <v>738</v>
      </c>
      <c r="C26" s="306">
        <f>C24-C25</f>
        <v>145000</v>
      </c>
      <c r="D26" s="299"/>
      <c r="E26" s="299"/>
      <c r="F26" s="299"/>
      <c r="G26" s="299"/>
      <c r="H26" s="299"/>
      <c r="I26" s="299"/>
      <c r="J26" s="299"/>
      <c r="K26" s="299"/>
    </row>
    <row r="27" spans="2:13" ht="16.5" x14ac:dyDescent="0.45">
      <c r="B27" s="299" t="s">
        <v>731</v>
      </c>
      <c r="C27" s="307">
        <f>C17</f>
        <v>45000</v>
      </c>
      <c r="D27" s="299"/>
      <c r="E27" s="299"/>
      <c r="F27" s="299"/>
      <c r="G27" s="299"/>
      <c r="H27" s="299"/>
      <c r="I27" s="299"/>
      <c r="J27" s="299"/>
      <c r="K27" s="299"/>
    </row>
    <row r="28" spans="2:13" ht="17" thickBot="1" x14ac:dyDescent="0.5">
      <c r="B28" s="299" t="s">
        <v>739</v>
      </c>
      <c r="C28" s="308">
        <f>C26-C27</f>
        <v>100000</v>
      </c>
      <c r="D28" s="299"/>
      <c r="E28" s="299"/>
      <c r="F28" s="299"/>
      <c r="G28" s="299"/>
      <c r="H28" s="299"/>
      <c r="I28" s="299"/>
      <c r="J28" s="299"/>
      <c r="K28" s="299"/>
    </row>
    <row r="29" spans="2:13" ht="17" thickTop="1" x14ac:dyDescent="0.45">
      <c r="B29" s="299"/>
      <c r="C29" s="306"/>
      <c r="D29" s="299"/>
      <c r="E29" s="299"/>
      <c r="F29" s="299"/>
      <c r="G29" s="299"/>
      <c r="H29" s="299"/>
      <c r="I29" s="299"/>
      <c r="J29" s="299"/>
      <c r="K29" s="299"/>
    </row>
    <row r="30" spans="2:13" ht="16.5" x14ac:dyDescent="0.45">
      <c r="D30" s="299"/>
      <c r="E30" s="299"/>
      <c r="F30" s="299"/>
      <c r="G30" s="299"/>
      <c r="H30" s="299"/>
      <c r="I30" s="299"/>
      <c r="J30" s="299"/>
      <c r="K30" s="299"/>
    </row>
    <row r="31" spans="2:13" ht="16.5" x14ac:dyDescent="0.45">
      <c r="B31" s="299"/>
      <c r="C31" s="299"/>
      <c r="D31" s="299"/>
      <c r="E31" s="299"/>
      <c r="F31" s="299"/>
      <c r="G31" s="299"/>
      <c r="H31" s="299"/>
      <c r="I31" s="299"/>
      <c r="J31" s="299"/>
      <c r="K31" s="299"/>
      <c r="L31" s="299"/>
      <c r="M31" s="299"/>
    </row>
    <row r="32" spans="2:13" ht="16.5" x14ac:dyDescent="0.45">
      <c r="B32" s="299"/>
      <c r="C32" s="299"/>
      <c r="D32" s="299"/>
      <c r="E32" s="299"/>
      <c r="F32" s="299"/>
      <c r="G32" s="299"/>
      <c r="H32" s="299"/>
      <c r="I32" s="299"/>
      <c r="J32" s="299"/>
      <c r="K32" s="299"/>
      <c r="L32" s="299"/>
      <c r="M32" s="299"/>
    </row>
    <row r="33" spans="2:13" ht="16.5" x14ac:dyDescent="0.45">
      <c r="B33" s="299"/>
      <c r="C33" s="299"/>
      <c r="D33" s="299"/>
      <c r="E33" s="299"/>
      <c r="F33" s="299"/>
      <c r="G33" s="299"/>
      <c r="H33" s="299"/>
      <c r="I33" s="299"/>
      <c r="J33" s="299"/>
      <c r="K33" s="299"/>
      <c r="L33" s="299"/>
      <c r="M33" s="299"/>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787B7-BABF-4606-8E80-E87DC753FA3A}">
  <sheetPr codeName="Sheet17"/>
  <dimension ref="B2:N33"/>
  <sheetViews>
    <sheetView showGridLines="0" zoomScale="44" workbookViewId="0">
      <selection activeCell="C32" sqref="C32"/>
    </sheetView>
  </sheetViews>
  <sheetFormatPr defaultRowHeight="14.5" x14ac:dyDescent="0.35"/>
  <cols>
    <col min="1" max="1" width="2.453125" customWidth="1"/>
    <col min="2" max="2" width="21.453125" customWidth="1"/>
    <col min="3" max="11" width="17" customWidth="1"/>
    <col min="12" max="12" width="12" customWidth="1"/>
    <col min="13" max="13" width="11.81640625" customWidth="1"/>
    <col min="14" max="14" width="23.7265625" customWidth="1"/>
  </cols>
  <sheetData>
    <row r="2" spans="2:14" x14ac:dyDescent="0.35">
      <c r="B2" s="258"/>
      <c r="C2" s="258"/>
      <c r="D2" s="258"/>
      <c r="E2" s="258"/>
      <c r="F2" s="258"/>
      <c r="G2" s="258"/>
      <c r="H2" s="258"/>
      <c r="I2" s="258"/>
      <c r="J2" s="258"/>
      <c r="K2" s="258"/>
      <c r="L2" s="258"/>
      <c r="M2" s="258"/>
      <c r="N2" s="258"/>
    </row>
    <row r="3" spans="2:14" ht="15.5" x14ac:dyDescent="0.35">
      <c r="B3" s="259" t="s">
        <v>326</v>
      </c>
      <c r="C3" s="260"/>
      <c r="D3" s="258"/>
      <c r="E3" s="258"/>
      <c r="F3" s="258"/>
      <c r="G3" s="258"/>
      <c r="H3" s="258"/>
      <c r="I3" s="258"/>
      <c r="J3" s="258"/>
      <c r="K3" s="258"/>
      <c r="L3" s="258"/>
      <c r="M3" s="258"/>
      <c r="N3" s="258"/>
    </row>
    <row r="4" spans="2:14" ht="16" x14ac:dyDescent="0.45">
      <c r="B4" s="128" t="s">
        <v>364</v>
      </c>
      <c r="C4" s="126"/>
      <c r="D4" s="126"/>
      <c r="E4" s="258"/>
      <c r="F4" s="258"/>
      <c r="G4" s="258"/>
      <c r="H4" s="258"/>
      <c r="I4" s="258"/>
      <c r="J4" s="258"/>
      <c r="K4" s="258"/>
      <c r="L4" s="258"/>
      <c r="M4" s="258"/>
      <c r="N4" s="258"/>
    </row>
    <row r="7" spans="2:14" ht="16.5" x14ac:dyDescent="0.45">
      <c r="B7" s="309" t="s">
        <v>722</v>
      </c>
    </row>
    <row r="8" spans="2:14" ht="16.5" x14ac:dyDescent="0.45">
      <c r="B8" s="298"/>
      <c r="C8" s="299"/>
      <c r="D8" s="299"/>
    </row>
    <row r="9" spans="2:14" ht="16.5" x14ac:dyDescent="0.45">
      <c r="B9" s="299" t="s">
        <v>723</v>
      </c>
      <c r="C9" s="299"/>
      <c r="D9" s="299"/>
    </row>
    <row r="10" spans="2:14" ht="16.5" x14ac:dyDescent="0.45">
      <c r="B10" s="299" t="s">
        <v>724</v>
      </c>
      <c r="C10" s="299"/>
      <c r="D10" s="299"/>
    </row>
    <row r="11" spans="2:14" ht="16.5" x14ac:dyDescent="0.45">
      <c r="B11" s="299"/>
      <c r="C11" s="299"/>
      <c r="D11" s="299"/>
      <c r="E11" s="299"/>
    </row>
    <row r="12" spans="2:14" ht="16.5" x14ac:dyDescent="0.45">
      <c r="B12" s="298" t="s">
        <v>725</v>
      </c>
      <c r="C12" s="299"/>
      <c r="D12" s="299"/>
    </row>
    <row r="13" spans="2:14" ht="16.5" x14ac:dyDescent="0.45">
      <c r="B13" s="299"/>
      <c r="C13" s="299"/>
      <c r="D13" s="299"/>
      <c r="E13" s="300" t="s">
        <v>726</v>
      </c>
      <c r="G13" s="301" t="s">
        <v>16</v>
      </c>
      <c r="H13" s="299"/>
      <c r="I13" s="299"/>
    </row>
    <row r="14" spans="2:14" ht="16.5" x14ac:dyDescent="0.45">
      <c r="B14" s="299" t="s">
        <v>727</v>
      </c>
      <c r="C14" s="302">
        <v>4</v>
      </c>
      <c r="D14" s="299"/>
      <c r="E14" s="302">
        <v>4</v>
      </c>
      <c r="G14" s="299"/>
      <c r="H14" s="299"/>
      <c r="I14" s="299"/>
    </row>
    <row r="15" spans="2:14" ht="16.5" x14ac:dyDescent="0.45">
      <c r="B15" s="299" t="s">
        <v>728</v>
      </c>
      <c r="C15" s="303">
        <v>29000</v>
      </c>
      <c r="D15" s="299"/>
      <c r="E15" s="303">
        <v>29000</v>
      </c>
      <c r="G15" s="301" t="s">
        <v>1</v>
      </c>
      <c r="H15" s="299" t="s">
        <v>740</v>
      </c>
      <c r="I15" s="299"/>
    </row>
    <row r="16" spans="2:14" ht="16.5" x14ac:dyDescent="0.45">
      <c r="B16" s="299" t="s">
        <v>730</v>
      </c>
      <c r="C16" s="302">
        <v>0.45</v>
      </c>
      <c r="D16" s="299"/>
      <c r="E16" s="302">
        <v>0.45</v>
      </c>
      <c r="G16" s="299"/>
      <c r="H16" s="304">
        <v>5.26</v>
      </c>
      <c r="I16" s="299"/>
    </row>
    <row r="17" spans="2:13" ht="16.5" x14ac:dyDescent="0.45">
      <c r="B17" s="299" t="s">
        <v>731</v>
      </c>
      <c r="C17" s="303">
        <v>45000</v>
      </c>
      <c r="D17" s="299"/>
      <c r="E17" s="303">
        <v>45000</v>
      </c>
      <c r="G17" s="299"/>
      <c r="I17" s="299"/>
    </row>
    <row r="18" spans="2:13" ht="16.5" x14ac:dyDescent="0.45">
      <c r="B18" s="299"/>
      <c r="C18" s="299"/>
      <c r="D18" s="299"/>
      <c r="E18" s="299"/>
      <c r="G18" s="301" t="s">
        <v>2</v>
      </c>
      <c r="H18" s="299" t="s">
        <v>740</v>
      </c>
      <c r="I18" s="299"/>
    </row>
    <row r="19" spans="2:13" ht="16.5" x14ac:dyDescent="0.45">
      <c r="B19" s="299" t="s">
        <v>733</v>
      </c>
      <c r="C19" s="305">
        <v>100000</v>
      </c>
      <c r="D19" s="299"/>
      <c r="E19" s="305">
        <v>100000</v>
      </c>
      <c r="H19" s="299" t="s">
        <v>741</v>
      </c>
      <c r="I19" s="299"/>
    </row>
    <row r="20" spans="2:13" ht="16.5" x14ac:dyDescent="0.45">
      <c r="C20" s="299"/>
      <c r="D20" s="299"/>
      <c r="E20" s="299"/>
      <c r="G20" s="299"/>
      <c r="H20" s="299" t="s">
        <v>742</v>
      </c>
      <c r="I20" s="299"/>
    </row>
    <row r="21" spans="2:13" ht="16.5" x14ac:dyDescent="0.45">
      <c r="D21" s="299"/>
      <c r="E21" s="299"/>
      <c r="G21" s="299"/>
      <c r="H21" s="299"/>
      <c r="I21" s="299"/>
    </row>
    <row r="22" spans="2:13" ht="16.5" x14ac:dyDescent="0.45">
      <c r="B22" s="298" t="s">
        <v>735</v>
      </c>
      <c r="D22" s="299"/>
      <c r="E22" s="299"/>
      <c r="H22" s="304"/>
      <c r="I22" s="299"/>
    </row>
    <row r="23" spans="2:13" ht="16.5" x14ac:dyDescent="0.45">
      <c r="D23" s="299"/>
      <c r="E23" s="299"/>
    </row>
    <row r="24" spans="2:13" ht="16.5" x14ac:dyDescent="0.45">
      <c r="B24" s="299" t="s">
        <v>736</v>
      </c>
      <c r="C24" s="306">
        <f>C14*C15</f>
        <v>116000</v>
      </c>
      <c r="D24" s="299"/>
      <c r="E24" s="299"/>
    </row>
    <row r="25" spans="2:13" ht="16.5" x14ac:dyDescent="0.45">
      <c r="B25" s="299" t="s">
        <v>737</v>
      </c>
      <c r="C25" s="307">
        <f>C16*C15</f>
        <v>13050</v>
      </c>
      <c r="D25" s="299"/>
      <c r="E25" s="299"/>
      <c r="G25" s="301"/>
      <c r="H25" s="299"/>
    </row>
    <row r="26" spans="2:13" ht="16.5" x14ac:dyDescent="0.45">
      <c r="B26" s="299" t="s">
        <v>738</v>
      </c>
      <c r="C26" s="306">
        <f>C24-C25</f>
        <v>102950</v>
      </c>
      <c r="D26" s="299"/>
      <c r="E26" s="299"/>
      <c r="G26" s="301"/>
      <c r="H26" s="299"/>
    </row>
    <row r="27" spans="2:13" ht="16.5" x14ac:dyDescent="0.45">
      <c r="B27" s="299" t="s">
        <v>731</v>
      </c>
      <c r="C27" s="307">
        <f>C17</f>
        <v>45000</v>
      </c>
      <c r="D27" s="299"/>
      <c r="E27" s="299"/>
    </row>
    <row r="28" spans="2:13" ht="17" thickBot="1" x14ac:dyDescent="0.5">
      <c r="B28" s="299" t="s">
        <v>739</v>
      </c>
      <c r="C28" s="308">
        <f>C26-C27</f>
        <v>57950</v>
      </c>
      <c r="D28" s="299"/>
      <c r="E28" s="299"/>
    </row>
    <row r="29" spans="2:13" ht="17" thickTop="1" x14ac:dyDescent="0.45">
      <c r="B29" s="299"/>
      <c r="C29" s="306"/>
      <c r="D29" s="299"/>
      <c r="E29" s="299"/>
    </row>
    <row r="30" spans="2:13" ht="16.5" x14ac:dyDescent="0.45">
      <c r="D30" s="299"/>
      <c r="E30" s="299"/>
    </row>
    <row r="31" spans="2:13" ht="16.5" x14ac:dyDescent="0.45">
      <c r="B31" s="299"/>
      <c r="C31" s="299"/>
      <c r="D31" s="299"/>
      <c r="E31" s="299"/>
      <c r="F31" s="299"/>
      <c r="G31" s="299"/>
      <c r="H31" s="299"/>
      <c r="I31" s="299"/>
      <c r="J31" s="299"/>
      <c r="K31" s="299"/>
      <c r="L31" s="299"/>
      <c r="M31" s="299"/>
    </row>
    <row r="32" spans="2:13" ht="16.5" x14ac:dyDescent="0.45">
      <c r="B32" s="299"/>
      <c r="C32" s="299"/>
      <c r="D32" s="299"/>
      <c r="E32" s="299"/>
      <c r="F32" s="299"/>
      <c r="G32" s="299"/>
      <c r="H32" s="299"/>
      <c r="I32" s="299"/>
      <c r="J32" s="299"/>
      <c r="K32" s="299"/>
      <c r="L32" s="299"/>
      <c r="M32" s="299"/>
    </row>
    <row r="33" spans="2:13" ht="16.5" x14ac:dyDescent="0.45">
      <c r="B33" s="299"/>
      <c r="C33" s="299"/>
      <c r="D33" s="299"/>
      <c r="E33" s="299"/>
      <c r="F33" s="299"/>
      <c r="G33" s="299"/>
      <c r="H33" s="299"/>
      <c r="I33" s="299"/>
      <c r="J33" s="299"/>
      <c r="K33" s="299"/>
      <c r="L33" s="299"/>
      <c r="M33" s="299"/>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5166-F59E-4091-BEC4-0A19846A0A00}">
  <sheetPr codeName="Sheet18"/>
  <dimension ref="B2:N34"/>
  <sheetViews>
    <sheetView showGridLines="0" topLeftCell="A2" zoomScale="51" workbookViewId="0">
      <selection activeCell="C33" sqref="C33"/>
    </sheetView>
  </sheetViews>
  <sheetFormatPr defaultRowHeight="14.5" x14ac:dyDescent="0.35"/>
  <cols>
    <col min="1" max="1" width="2.453125" customWidth="1"/>
    <col min="2" max="2" width="21.453125" customWidth="1"/>
    <col min="3" max="11" width="17" customWidth="1"/>
    <col min="12" max="12" width="12" customWidth="1"/>
    <col min="13" max="13" width="11.81640625" customWidth="1"/>
    <col min="14" max="14" width="23.7265625" customWidth="1"/>
  </cols>
  <sheetData>
    <row r="2" spans="2:14" x14ac:dyDescent="0.35">
      <c r="B2" s="258"/>
      <c r="C2" s="258"/>
      <c r="D2" s="258"/>
      <c r="E2" s="258"/>
      <c r="F2" s="258"/>
      <c r="G2" s="258"/>
      <c r="H2" s="258"/>
      <c r="I2" s="258"/>
      <c r="J2" s="258"/>
      <c r="K2" s="258"/>
      <c r="L2" s="258"/>
      <c r="M2" s="258"/>
      <c r="N2" s="258"/>
    </row>
    <row r="3" spans="2:14" ht="15.5" x14ac:dyDescent="0.35">
      <c r="B3" s="259" t="s">
        <v>326</v>
      </c>
      <c r="C3" s="260"/>
      <c r="D3" s="258"/>
      <c r="E3" s="258"/>
      <c r="F3" s="258"/>
      <c r="G3" s="258"/>
      <c r="H3" s="258"/>
      <c r="I3" s="258"/>
      <c r="J3" s="258"/>
      <c r="K3" s="258"/>
      <c r="L3" s="258"/>
      <c r="M3" s="258"/>
      <c r="N3" s="258"/>
    </row>
    <row r="4" spans="2:14" ht="16" x14ac:dyDescent="0.45">
      <c r="B4" s="128" t="s">
        <v>364</v>
      </c>
      <c r="C4" s="126"/>
      <c r="D4" s="126"/>
      <c r="E4" s="258"/>
      <c r="F4" s="258"/>
      <c r="G4" s="258"/>
      <c r="H4" s="258"/>
      <c r="I4" s="258"/>
      <c r="J4" s="258"/>
      <c r="K4" s="258"/>
      <c r="L4" s="258"/>
      <c r="M4" s="258"/>
      <c r="N4" s="258"/>
    </row>
    <row r="7" spans="2:14" ht="16.5" x14ac:dyDescent="0.45">
      <c r="B7" s="309" t="s">
        <v>722</v>
      </c>
    </row>
    <row r="8" spans="2:14" ht="16.5" x14ac:dyDescent="0.45">
      <c r="B8" s="298"/>
      <c r="C8" s="299"/>
      <c r="D8" s="299"/>
    </row>
    <row r="9" spans="2:14" ht="16.5" x14ac:dyDescent="0.45">
      <c r="B9" s="299" t="s">
        <v>723</v>
      </c>
      <c r="C9" s="299"/>
      <c r="D9" s="299"/>
    </row>
    <row r="10" spans="2:14" ht="16.5" x14ac:dyDescent="0.45">
      <c r="B10" s="299" t="s">
        <v>724</v>
      </c>
      <c r="C10" s="299"/>
      <c r="D10" s="299"/>
    </row>
    <row r="11" spans="2:14" ht="16.5" x14ac:dyDescent="0.45">
      <c r="B11" s="299"/>
      <c r="C11" s="299"/>
      <c r="D11" s="299"/>
      <c r="E11" s="299"/>
    </row>
    <row r="12" spans="2:14" ht="16.5" x14ac:dyDescent="0.45">
      <c r="B12" s="298" t="s">
        <v>725</v>
      </c>
      <c r="C12" s="299"/>
      <c r="D12" s="299"/>
      <c r="G12" s="310" t="s">
        <v>743</v>
      </c>
    </row>
    <row r="13" spans="2:14" ht="16.5" x14ac:dyDescent="0.45">
      <c r="B13" s="299"/>
      <c r="C13" s="299"/>
      <c r="D13" s="299"/>
      <c r="E13" s="300" t="s">
        <v>726</v>
      </c>
    </row>
    <row r="14" spans="2:14" ht="16.5" x14ac:dyDescent="0.45">
      <c r="B14" s="299" t="s">
        <v>727</v>
      </c>
      <c r="C14" s="302">
        <v>4</v>
      </c>
      <c r="D14" s="299"/>
      <c r="E14" s="302">
        <v>4</v>
      </c>
    </row>
    <row r="15" spans="2:14" ht="16.5" x14ac:dyDescent="0.45">
      <c r="B15" s="299" t="s">
        <v>728</v>
      </c>
      <c r="C15" s="303">
        <v>29000</v>
      </c>
      <c r="D15" s="299"/>
      <c r="E15" s="303">
        <v>29000</v>
      </c>
    </row>
    <row r="16" spans="2:14" ht="16.5" x14ac:dyDescent="0.45">
      <c r="B16" s="299" t="s">
        <v>730</v>
      </c>
      <c r="C16" s="302">
        <v>0.45</v>
      </c>
      <c r="D16" s="299"/>
      <c r="E16" s="302">
        <v>0.45</v>
      </c>
    </row>
    <row r="17" spans="2:13" ht="16.5" x14ac:dyDescent="0.45">
      <c r="B17" s="299" t="s">
        <v>731</v>
      </c>
      <c r="C17" s="303">
        <v>45000</v>
      </c>
      <c r="D17" s="299"/>
      <c r="E17" s="303">
        <v>45000</v>
      </c>
    </row>
    <row r="18" spans="2:13" ht="16.5" x14ac:dyDescent="0.45">
      <c r="B18" s="299"/>
      <c r="C18" s="299"/>
      <c r="D18" s="299"/>
      <c r="E18" s="299"/>
    </row>
    <row r="19" spans="2:13" ht="16.5" x14ac:dyDescent="0.45">
      <c r="B19" s="299" t="s">
        <v>733</v>
      </c>
      <c r="C19" s="305">
        <v>100000</v>
      </c>
      <c r="D19" s="299"/>
      <c r="E19" s="305">
        <v>100000</v>
      </c>
    </row>
    <row r="20" spans="2:13" ht="16.5" x14ac:dyDescent="0.45">
      <c r="D20" s="299"/>
      <c r="E20" s="299"/>
    </row>
    <row r="21" spans="2:13" ht="16.5" x14ac:dyDescent="0.45">
      <c r="D21" s="299"/>
      <c r="E21" s="299"/>
    </row>
    <row r="22" spans="2:13" ht="16.5" x14ac:dyDescent="0.45">
      <c r="B22" s="298" t="s">
        <v>735</v>
      </c>
      <c r="D22" s="299"/>
      <c r="E22" s="299"/>
    </row>
    <row r="23" spans="2:13" ht="16.5" x14ac:dyDescent="0.45">
      <c r="D23" s="299"/>
      <c r="E23" s="299"/>
    </row>
    <row r="24" spans="2:13" ht="16.5" x14ac:dyDescent="0.45">
      <c r="B24" s="299" t="s">
        <v>736</v>
      </c>
      <c r="C24" s="306">
        <f>C14*C15</f>
        <v>116000</v>
      </c>
      <c r="D24" s="299"/>
      <c r="E24" s="299"/>
    </row>
    <row r="25" spans="2:13" ht="16.5" x14ac:dyDescent="0.45">
      <c r="B25" s="299" t="s">
        <v>737</v>
      </c>
      <c r="C25" s="307">
        <f>C16*C15</f>
        <v>13050</v>
      </c>
      <c r="D25" s="299"/>
      <c r="E25" s="299"/>
    </row>
    <row r="26" spans="2:13" ht="16.5" x14ac:dyDescent="0.45">
      <c r="B26" s="299" t="s">
        <v>738</v>
      </c>
      <c r="C26" s="306">
        <f>C24-C25</f>
        <v>102950</v>
      </c>
      <c r="D26" s="299"/>
      <c r="E26" s="299"/>
    </row>
    <row r="27" spans="2:13" ht="16.5" x14ac:dyDescent="0.45">
      <c r="B27" s="299" t="s">
        <v>731</v>
      </c>
      <c r="C27" s="307">
        <f>C17</f>
        <v>45000</v>
      </c>
      <c r="D27" s="299"/>
      <c r="E27" s="299"/>
    </row>
    <row r="28" spans="2:13" ht="17" thickBot="1" x14ac:dyDescent="0.5">
      <c r="B28" s="299" t="s">
        <v>739</v>
      </c>
      <c r="C28" s="308">
        <f>C26-C27</f>
        <v>57950</v>
      </c>
      <c r="D28" s="299"/>
      <c r="E28" s="299"/>
    </row>
    <row r="29" spans="2:13" ht="17" thickTop="1" x14ac:dyDescent="0.45">
      <c r="B29" s="299"/>
      <c r="C29" s="306"/>
      <c r="D29" s="299"/>
      <c r="E29" s="299"/>
    </row>
    <row r="30" spans="2:13" ht="16.5" x14ac:dyDescent="0.45">
      <c r="D30" s="299"/>
      <c r="E30" s="299"/>
    </row>
    <row r="31" spans="2:13" ht="16.5" x14ac:dyDescent="0.45">
      <c r="B31" s="299"/>
      <c r="C31" s="299"/>
      <c r="D31" s="299"/>
      <c r="E31" s="299"/>
      <c r="F31" s="299"/>
      <c r="G31" s="299"/>
      <c r="H31" s="299"/>
      <c r="I31" s="299"/>
      <c r="J31" s="299"/>
      <c r="K31" s="299"/>
      <c r="L31" s="299"/>
      <c r="M31" s="299"/>
    </row>
    <row r="32" spans="2:13" ht="16.5" x14ac:dyDescent="0.45">
      <c r="B32" s="299"/>
      <c r="C32" s="299"/>
      <c r="D32" s="299"/>
      <c r="E32" s="299"/>
      <c r="F32" s="299"/>
      <c r="G32" s="299"/>
      <c r="H32" s="299"/>
      <c r="I32" s="299"/>
      <c r="J32" s="299"/>
      <c r="K32" s="299"/>
      <c r="L32" s="299"/>
      <c r="M32" s="299"/>
    </row>
    <row r="33" spans="2:13" ht="16.5" x14ac:dyDescent="0.45">
      <c r="B33" s="299"/>
      <c r="C33" s="299"/>
      <c r="D33" s="299"/>
      <c r="E33" s="299"/>
      <c r="F33" s="299"/>
      <c r="G33" s="299"/>
      <c r="H33" s="299"/>
      <c r="I33" s="299"/>
      <c r="J33" s="299"/>
      <c r="K33" s="299"/>
      <c r="L33" s="299"/>
      <c r="M33" s="299"/>
    </row>
    <row r="34" spans="2:13" ht="16.5" x14ac:dyDescent="0.45">
      <c r="B34" s="299"/>
      <c r="C34" s="299"/>
      <c r="D34" s="299"/>
      <c r="E34" s="299"/>
      <c r="F34" s="299"/>
      <c r="G34" s="299"/>
      <c r="H34" s="299"/>
      <c r="I34" s="299"/>
      <c r="J34" s="299"/>
      <c r="K34" s="299"/>
      <c r="L34" s="299"/>
      <c r="M34" s="299"/>
    </row>
  </sheetData>
  <scenarios current="0">
    <scenario name="Base" locked="1" count="4" user="kazussah mmabun veronica">
      <inputCells r="C14" val="4"/>
      <inputCells r="C15" val="29000" numFmtId="3"/>
      <inputCells r="C16" val="0.45"/>
      <inputCells r="C17" val="45000" numFmtId="3"/>
    </scenario>
  </scenario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47ECB-D2FE-40DD-9F71-1F3791C57716}">
  <sheetPr codeName="Sheet19"/>
  <dimension ref="B2:N66"/>
  <sheetViews>
    <sheetView showGridLines="0" topLeftCell="A22" workbookViewId="0">
      <selection activeCell="B2" sqref="B2"/>
    </sheetView>
  </sheetViews>
  <sheetFormatPr defaultRowHeight="14.5" x14ac:dyDescent="0.35"/>
  <cols>
    <col min="1" max="1" width="2.453125" customWidth="1"/>
    <col min="2" max="2" width="21.453125" customWidth="1"/>
    <col min="3" max="12" width="16.1796875" customWidth="1"/>
    <col min="13" max="13" width="11.81640625" customWidth="1"/>
    <col min="14" max="14" width="23.7265625" customWidth="1"/>
  </cols>
  <sheetData>
    <row r="2" spans="2:14" x14ac:dyDescent="0.35">
      <c r="B2" s="258"/>
      <c r="C2" s="258"/>
      <c r="D2" s="258"/>
      <c r="E2" s="258"/>
      <c r="F2" s="258"/>
      <c r="G2" s="258"/>
      <c r="H2" s="258"/>
      <c r="I2" s="258"/>
      <c r="J2" s="258"/>
      <c r="K2" s="258"/>
      <c r="L2" s="258"/>
      <c r="M2" s="258"/>
      <c r="N2" s="258"/>
    </row>
    <row r="3" spans="2:14" ht="15.5" x14ac:dyDescent="0.35">
      <c r="B3" s="259" t="s">
        <v>326</v>
      </c>
      <c r="C3" s="260"/>
      <c r="D3" s="258"/>
      <c r="E3" s="258"/>
      <c r="F3" s="258"/>
      <c r="G3" s="258"/>
      <c r="H3" s="258"/>
      <c r="I3" s="258"/>
      <c r="J3" s="258"/>
      <c r="K3" s="258"/>
      <c r="L3" s="258"/>
      <c r="M3" s="258"/>
      <c r="N3" s="258"/>
    </row>
    <row r="4" spans="2:14" ht="16" x14ac:dyDescent="0.45">
      <c r="B4" s="128" t="s">
        <v>364</v>
      </c>
      <c r="C4" s="126"/>
      <c r="D4" s="126"/>
      <c r="E4" s="258"/>
      <c r="F4" s="258"/>
      <c r="G4" s="258"/>
      <c r="H4" s="258"/>
      <c r="I4" s="258"/>
      <c r="J4" s="258"/>
      <c r="K4" s="258"/>
      <c r="L4" s="258"/>
      <c r="M4" s="258"/>
      <c r="N4" s="258"/>
    </row>
    <row r="7" spans="2:14" ht="16.5" x14ac:dyDescent="0.45">
      <c r="B7" s="309" t="s">
        <v>722</v>
      </c>
    </row>
    <row r="8" spans="2:14" ht="16.5" x14ac:dyDescent="0.45">
      <c r="B8" s="298"/>
      <c r="C8" s="299"/>
      <c r="D8" s="299"/>
    </row>
    <row r="9" spans="2:14" ht="16.5" x14ac:dyDescent="0.45">
      <c r="B9" s="299" t="s">
        <v>723</v>
      </c>
      <c r="C9" s="299"/>
      <c r="D9" s="299"/>
    </row>
    <row r="10" spans="2:14" ht="16.5" x14ac:dyDescent="0.45">
      <c r="B10" s="299" t="s">
        <v>724</v>
      </c>
      <c r="C10" s="299"/>
      <c r="D10" s="299"/>
    </row>
    <row r="11" spans="2:14" ht="16.5" x14ac:dyDescent="0.45">
      <c r="B11" s="299"/>
      <c r="C11" s="299"/>
      <c r="D11" s="299"/>
      <c r="E11" s="299"/>
    </row>
    <row r="12" spans="2:14" ht="16.5" x14ac:dyDescent="0.45">
      <c r="B12" s="298" t="s">
        <v>725</v>
      </c>
      <c r="C12" s="299"/>
      <c r="D12" s="299"/>
    </row>
    <row r="13" spans="2:14" ht="16.5" x14ac:dyDescent="0.45">
      <c r="B13" s="299"/>
      <c r="C13" s="299"/>
      <c r="D13" s="299"/>
      <c r="E13" s="300" t="s">
        <v>726</v>
      </c>
    </row>
    <row r="14" spans="2:14" ht="16.5" x14ac:dyDescent="0.45">
      <c r="B14" s="299" t="s">
        <v>727</v>
      </c>
      <c r="C14" s="302">
        <v>4</v>
      </c>
      <c r="D14" s="299"/>
      <c r="E14" s="302">
        <v>4</v>
      </c>
    </row>
    <row r="15" spans="2:14" ht="16.5" x14ac:dyDescent="0.45">
      <c r="B15" s="299" t="s">
        <v>728</v>
      </c>
      <c r="C15" s="303">
        <v>29000</v>
      </c>
      <c r="D15" s="299"/>
      <c r="E15" s="303">
        <v>29000</v>
      </c>
    </row>
    <row r="16" spans="2:14" ht="16.5" x14ac:dyDescent="0.45">
      <c r="B16" s="299" t="s">
        <v>730</v>
      </c>
      <c r="C16" s="302">
        <v>0.45</v>
      </c>
      <c r="D16" s="299"/>
      <c r="E16" s="302">
        <v>0.45</v>
      </c>
    </row>
    <row r="17" spans="2:13" ht="16.5" x14ac:dyDescent="0.45">
      <c r="B17" s="299" t="s">
        <v>731</v>
      </c>
      <c r="C17" s="303">
        <v>45000</v>
      </c>
      <c r="D17" s="299"/>
      <c r="E17" s="303">
        <v>45000</v>
      </c>
    </row>
    <row r="18" spans="2:13" ht="16.5" x14ac:dyDescent="0.45">
      <c r="B18" s="299"/>
      <c r="C18" s="299"/>
      <c r="D18" s="299"/>
      <c r="E18" s="299"/>
    </row>
    <row r="19" spans="2:13" ht="16.5" x14ac:dyDescent="0.45">
      <c r="B19" s="299" t="s">
        <v>733</v>
      </c>
      <c r="C19" s="305">
        <v>100000</v>
      </c>
      <c r="D19" s="299"/>
      <c r="E19" s="305">
        <v>100000</v>
      </c>
    </row>
    <row r="20" spans="2:13" ht="16.5" x14ac:dyDescent="0.45">
      <c r="D20" s="299"/>
      <c r="E20" s="299"/>
    </row>
    <row r="21" spans="2:13" ht="16.5" x14ac:dyDescent="0.45">
      <c r="D21" s="299"/>
      <c r="E21" s="299"/>
    </row>
    <row r="22" spans="2:13" ht="16.5" x14ac:dyDescent="0.45">
      <c r="B22" s="298" t="s">
        <v>735</v>
      </c>
      <c r="D22" s="299"/>
      <c r="E22" s="299"/>
    </row>
    <row r="23" spans="2:13" ht="16.5" x14ac:dyDescent="0.45">
      <c r="D23" s="299"/>
      <c r="E23" s="299"/>
    </row>
    <row r="24" spans="2:13" ht="16.5" x14ac:dyDescent="0.45">
      <c r="B24" s="299" t="s">
        <v>736</v>
      </c>
      <c r="C24" s="306">
        <f>C14*C15</f>
        <v>116000</v>
      </c>
      <c r="D24" s="299"/>
      <c r="E24" s="299"/>
    </row>
    <row r="25" spans="2:13" ht="16.5" x14ac:dyDescent="0.45">
      <c r="B25" s="299" t="s">
        <v>737</v>
      </c>
      <c r="C25" s="307">
        <f>C16*C15</f>
        <v>13050</v>
      </c>
      <c r="D25" s="299"/>
      <c r="E25" s="299"/>
    </row>
    <row r="26" spans="2:13" ht="16.5" x14ac:dyDescent="0.45">
      <c r="B26" s="299" t="s">
        <v>738</v>
      </c>
      <c r="C26" s="306">
        <f>C24-C25</f>
        <v>102950</v>
      </c>
      <c r="D26" s="299"/>
      <c r="E26" s="299"/>
    </row>
    <row r="27" spans="2:13" ht="16.5" x14ac:dyDescent="0.45">
      <c r="B27" s="299" t="s">
        <v>731</v>
      </c>
      <c r="C27" s="307">
        <f>C17</f>
        <v>45000</v>
      </c>
      <c r="D27" s="299"/>
      <c r="E27" s="299"/>
    </row>
    <row r="28" spans="2:13" ht="17" thickBot="1" x14ac:dyDescent="0.5">
      <c r="B28" s="299" t="s">
        <v>739</v>
      </c>
      <c r="C28" s="308">
        <f>C26-C27</f>
        <v>57950</v>
      </c>
      <c r="D28" s="299"/>
      <c r="E28" s="299"/>
    </row>
    <row r="29" spans="2:13" ht="17" thickTop="1" x14ac:dyDescent="0.45">
      <c r="B29" s="299"/>
      <c r="C29" s="306"/>
      <c r="D29" s="299"/>
      <c r="E29" s="299"/>
    </row>
    <row r="30" spans="2:13" ht="16.5" x14ac:dyDescent="0.45">
      <c r="D30" s="299"/>
      <c r="E30" s="299"/>
    </row>
    <row r="31" spans="2:13" ht="16.5" x14ac:dyDescent="0.45">
      <c r="B31" s="298" t="s">
        <v>744</v>
      </c>
      <c r="C31" s="299"/>
      <c r="D31" s="299"/>
      <c r="E31" s="299"/>
      <c r="F31" s="299"/>
      <c r="G31" s="299"/>
      <c r="H31" s="299"/>
      <c r="I31" s="299"/>
      <c r="J31" s="299"/>
      <c r="K31" s="299"/>
      <c r="L31" s="299"/>
      <c r="M31" s="299"/>
    </row>
    <row r="32" spans="2:13" ht="16.5" x14ac:dyDescent="0.45">
      <c r="B32" s="299"/>
      <c r="C32" s="299"/>
      <c r="D32" s="299"/>
      <c r="E32" s="299"/>
      <c r="F32" s="299"/>
      <c r="G32" s="299"/>
      <c r="H32" s="299"/>
      <c r="I32" s="299"/>
      <c r="J32" s="299"/>
      <c r="K32" s="299"/>
      <c r="L32" s="299"/>
      <c r="M32" s="299"/>
    </row>
    <row r="33" spans="2:13" ht="16.5" x14ac:dyDescent="0.45">
      <c r="B33" s="299"/>
      <c r="C33" s="299"/>
      <c r="D33" s="299"/>
      <c r="E33" s="299"/>
      <c r="F33" s="299"/>
      <c r="G33" s="299"/>
      <c r="H33" s="299"/>
      <c r="I33" s="299"/>
      <c r="J33" s="299"/>
      <c r="K33" s="299"/>
      <c r="L33" s="299"/>
      <c r="M33" s="299"/>
    </row>
    <row r="34" spans="2:13" ht="16.5" x14ac:dyDescent="0.45">
      <c r="B34" s="327" t="s">
        <v>745</v>
      </c>
      <c r="C34" s="327"/>
      <c r="D34" s="327"/>
      <c r="E34" s="327"/>
      <c r="F34" s="327"/>
      <c r="G34" s="327"/>
      <c r="H34" s="327"/>
      <c r="I34" s="327"/>
      <c r="J34" s="327"/>
      <c r="K34" s="327"/>
      <c r="L34" s="327"/>
      <c r="M34" s="299"/>
    </row>
    <row r="35" spans="2:13" ht="16.5" x14ac:dyDescent="0.45">
      <c r="B35" s="299"/>
      <c r="C35" s="299"/>
      <c r="D35" s="299"/>
      <c r="E35" s="299"/>
      <c r="F35" s="299"/>
      <c r="G35" s="299"/>
      <c r="H35" s="299"/>
      <c r="I35" s="299"/>
      <c r="J35" s="299"/>
      <c r="K35" s="299"/>
      <c r="L35" s="299"/>
      <c r="M35" s="299"/>
    </row>
    <row r="36" spans="2:13" ht="16.5" x14ac:dyDescent="0.45">
      <c r="B36" s="299"/>
      <c r="C36" s="299"/>
      <c r="D36" s="299"/>
      <c r="E36" s="299"/>
      <c r="F36" s="299"/>
      <c r="G36" s="299"/>
      <c r="H36" s="299"/>
      <c r="I36" s="299"/>
      <c r="J36" s="299"/>
      <c r="K36" s="299"/>
      <c r="L36" s="299"/>
      <c r="M36" s="299"/>
    </row>
    <row r="37" spans="2:13" ht="16.5" x14ac:dyDescent="0.45">
      <c r="B37" s="311" t="s">
        <v>731</v>
      </c>
      <c r="C37" s="312"/>
      <c r="D37" s="299"/>
      <c r="E37" s="234" t="s">
        <v>746</v>
      </c>
      <c r="F37" s="313">
        <v>3</v>
      </c>
      <c r="G37" s="313">
        <f>F37+0.5</f>
        <v>3.5</v>
      </c>
      <c r="H37" s="313">
        <f>G37+0.5</f>
        <v>4</v>
      </c>
      <c r="I37" s="313">
        <f t="shared" ref="I37:L37" si="0">H37+0.5</f>
        <v>4.5</v>
      </c>
      <c r="J37" s="313">
        <f t="shared" si="0"/>
        <v>5</v>
      </c>
      <c r="K37" s="313">
        <f t="shared" si="0"/>
        <v>5.5</v>
      </c>
      <c r="L37" s="313">
        <f t="shared" si="0"/>
        <v>6</v>
      </c>
      <c r="M37" s="299"/>
    </row>
    <row r="38" spans="2:13" ht="16.5" x14ac:dyDescent="0.45">
      <c r="B38" s="314">
        <v>35000</v>
      </c>
      <c r="C38" s="315"/>
      <c r="D38" s="299"/>
      <c r="E38" s="312"/>
      <c r="F38" s="315"/>
      <c r="G38" s="315"/>
      <c r="H38" s="315"/>
      <c r="I38" s="315"/>
      <c r="J38" s="315"/>
      <c r="K38" s="315"/>
      <c r="L38" s="315"/>
      <c r="M38" s="299"/>
    </row>
    <row r="39" spans="2:13" ht="16.5" x14ac:dyDescent="0.45">
      <c r="B39" s="314">
        <f>B38+2000</f>
        <v>37000</v>
      </c>
      <c r="C39" s="315"/>
      <c r="D39" s="299"/>
      <c r="E39" s="299"/>
      <c r="F39" s="299"/>
      <c r="G39" s="299"/>
      <c r="H39" s="299"/>
      <c r="I39" s="299"/>
      <c r="J39" s="299"/>
      <c r="K39" s="299"/>
      <c r="L39" s="299"/>
      <c r="M39" s="299"/>
    </row>
    <row r="40" spans="2:13" ht="16.5" x14ac:dyDescent="0.45">
      <c r="B40" s="314">
        <f t="shared" ref="B40:B46" si="1">B39+2000</f>
        <v>39000</v>
      </c>
      <c r="C40" s="315"/>
      <c r="D40" s="299"/>
      <c r="E40" s="299"/>
      <c r="F40" s="299"/>
      <c r="G40" s="299"/>
      <c r="H40" s="299"/>
      <c r="I40" s="299"/>
      <c r="J40" s="299"/>
      <c r="K40" s="299"/>
      <c r="L40" s="299"/>
      <c r="M40" s="299"/>
    </row>
    <row r="41" spans="2:13" ht="16.5" x14ac:dyDescent="0.45">
      <c r="B41" s="314">
        <f t="shared" si="1"/>
        <v>41000</v>
      </c>
      <c r="C41" s="315"/>
      <c r="D41" s="299"/>
      <c r="E41" s="299"/>
      <c r="F41" s="299"/>
      <c r="G41" s="299"/>
      <c r="H41" s="299"/>
      <c r="I41" s="299"/>
      <c r="J41" s="299"/>
      <c r="K41" s="299"/>
      <c r="L41" s="299"/>
      <c r="M41" s="299"/>
    </row>
    <row r="42" spans="2:13" ht="16.5" x14ac:dyDescent="0.45">
      <c r="B42" s="314">
        <f t="shared" si="1"/>
        <v>43000</v>
      </c>
      <c r="C42" s="315"/>
      <c r="D42" s="299"/>
      <c r="E42" s="299"/>
      <c r="F42" s="299"/>
      <c r="G42" s="299"/>
      <c r="H42" s="299"/>
      <c r="I42" s="299"/>
      <c r="J42" s="299"/>
      <c r="K42" s="299"/>
      <c r="L42" s="299"/>
      <c r="M42" s="299"/>
    </row>
    <row r="43" spans="2:13" ht="16.5" x14ac:dyDescent="0.45">
      <c r="B43" s="314">
        <f t="shared" si="1"/>
        <v>45000</v>
      </c>
      <c r="C43" s="315"/>
      <c r="D43" s="299"/>
      <c r="E43" s="299"/>
      <c r="F43" s="299"/>
      <c r="G43" s="299"/>
      <c r="H43" s="299"/>
      <c r="I43" s="299"/>
      <c r="J43" s="299"/>
      <c r="K43" s="299"/>
      <c r="L43" s="299"/>
      <c r="M43" s="299"/>
    </row>
    <row r="44" spans="2:13" ht="16.5" x14ac:dyDescent="0.45">
      <c r="B44" s="314">
        <f t="shared" si="1"/>
        <v>47000</v>
      </c>
      <c r="C44" s="315"/>
      <c r="D44" s="299"/>
      <c r="E44" s="299"/>
      <c r="F44" s="299"/>
      <c r="G44" s="299"/>
      <c r="H44" s="299"/>
      <c r="I44" s="299"/>
      <c r="J44" s="299"/>
      <c r="K44" s="299"/>
      <c r="L44" s="299"/>
      <c r="M44" s="299"/>
    </row>
    <row r="45" spans="2:13" ht="16.5" x14ac:dyDescent="0.45">
      <c r="B45" s="314">
        <f t="shared" si="1"/>
        <v>49000</v>
      </c>
      <c r="C45" s="315"/>
      <c r="D45" s="299"/>
      <c r="E45" s="299"/>
      <c r="F45" s="299"/>
      <c r="G45" s="299"/>
      <c r="H45" s="299"/>
      <c r="I45" s="299"/>
      <c r="J45" s="299"/>
      <c r="K45" s="299"/>
      <c r="L45" s="299"/>
      <c r="M45" s="299"/>
    </row>
    <row r="46" spans="2:13" ht="16.5" x14ac:dyDescent="0.45">
      <c r="B46" s="314">
        <f t="shared" si="1"/>
        <v>51000</v>
      </c>
      <c r="C46" s="315"/>
      <c r="D46" s="299"/>
      <c r="E46" s="299"/>
      <c r="F46" s="299"/>
      <c r="G46" s="299"/>
      <c r="H46" s="299"/>
      <c r="I46" s="299"/>
      <c r="J46" s="299"/>
      <c r="K46" s="299"/>
      <c r="L46" s="299"/>
      <c r="M46" s="299"/>
    </row>
    <row r="47" spans="2:13" ht="16.5" x14ac:dyDescent="0.45">
      <c r="B47" s="299"/>
      <c r="C47" s="299"/>
      <c r="D47" s="299"/>
      <c r="E47" s="299"/>
      <c r="F47" s="299"/>
      <c r="G47" s="299"/>
      <c r="H47" s="299"/>
      <c r="I47" s="299"/>
      <c r="J47" s="299"/>
      <c r="K47" s="299"/>
      <c r="L47" s="299"/>
      <c r="M47" s="299"/>
    </row>
    <row r="48" spans="2:13" ht="16.5" x14ac:dyDescent="0.45">
      <c r="B48" s="299"/>
      <c r="C48" s="299"/>
      <c r="D48" s="299"/>
      <c r="E48" s="299"/>
      <c r="F48" s="299"/>
      <c r="G48" s="299"/>
      <c r="H48" s="299"/>
      <c r="I48" s="299"/>
      <c r="J48" s="299"/>
      <c r="K48" s="299"/>
      <c r="L48" s="299"/>
      <c r="M48" s="299"/>
    </row>
    <row r="49" spans="2:13" ht="16.5" x14ac:dyDescent="0.45">
      <c r="B49" s="299"/>
      <c r="C49" s="299"/>
      <c r="D49" s="299"/>
      <c r="E49" s="299"/>
      <c r="F49" s="299"/>
      <c r="G49" s="299"/>
      <c r="H49" s="299"/>
      <c r="I49" s="299"/>
      <c r="J49" s="299"/>
      <c r="K49" s="299"/>
      <c r="L49" s="299"/>
      <c r="M49" s="299"/>
    </row>
    <row r="50" spans="2:13" ht="16.5" x14ac:dyDescent="0.45">
      <c r="B50" s="299"/>
      <c r="C50" s="299"/>
      <c r="D50" s="299"/>
      <c r="E50" s="299"/>
      <c r="F50" s="299"/>
      <c r="G50" s="299"/>
      <c r="H50" s="299"/>
      <c r="I50" s="299"/>
      <c r="J50" s="299"/>
      <c r="K50" s="299"/>
      <c r="L50" s="299"/>
      <c r="M50" s="299"/>
    </row>
    <row r="51" spans="2:13" ht="16.5" x14ac:dyDescent="0.45">
      <c r="B51" s="327" t="s">
        <v>747</v>
      </c>
      <c r="C51" s="327"/>
      <c r="D51" s="327"/>
      <c r="E51" s="327"/>
      <c r="F51" s="327"/>
      <c r="G51" s="327"/>
      <c r="H51" s="327"/>
      <c r="I51" s="327"/>
      <c r="J51" s="327"/>
      <c r="K51" s="327"/>
      <c r="L51" s="327"/>
      <c r="M51" s="299"/>
    </row>
    <row r="52" spans="2:13" ht="16.5" x14ac:dyDescent="0.45">
      <c r="B52" s="299"/>
      <c r="C52" s="299"/>
      <c r="D52" s="299"/>
      <c r="E52" s="299"/>
      <c r="F52" s="299"/>
      <c r="G52" s="299"/>
      <c r="H52" s="299"/>
      <c r="I52" s="299"/>
      <c r="J52" s="299"/>
      <c r="K52" s="299"/>
      <c r="L52" s="299"/>
      <c r="M52" s="299"/>
    </row>
    <row r="53" spans="2:13" ht="21" x14ac:dyDescent="0.55000000000000004">
      <c r="B53" s="299"/>
      <c r="C53" s="299"/>
      <c r="D53" s="328" t="s">
        <v>748</v>
      </c>
      <c r="E53" s="328"/>
      <c r="F53" s="328"/>
      <c r="G53" s="328"/>
      <c r="H53" s="328"/>
      <c r="I53" s="328"/>
      <c r="J53" s="328"/>
      <c r="K53" s="328"/>
      <c r="L53" s="299"/>
      <c r="M53" s="299"/>
    </row>
    <row r="54" spans="2:13" ht="12.75" customHeight="1" x14ac:dyDescent="0.45">
      <c r="B54" s="299"/>
      <c r="C54" s="299"/>
      <c r="D54" s="299"/>
      <c r="E54" s="299"/>
      <c r="F54" s="299"/>
      <c r="G54" s="299"/>
      <c r="H54" s="299"/>
      <c r="I54" s="299"/>
      <c r="J54" s="299"/>
      <c r="K54" s="299"/>
      <c r="L54" s="299"/>
      <c r="M54" s="299"/>
    </row>
    <row r="55" spans="2:13" ht="16.5" x14ac:dyDescent="0.45">
      <c r="B55" s="299"/>
      <c r="D55" s="312"/>
      <c r="E55" s="313">
        <v>3</v>
      </c>
      <c r="F55" s="313">
        <f>E55+0.5</f>
        <v>3.5</v>
      </c>
      <c r="G55" s="313">
        <f t="shared" ref="G55:K55" si="2">F55+0.5</f>
        <v>4</v>
      </c>
      <c r="H55" s="313">
        <f t="shared" si="2"/>
        <v>4.5</v>
      </c>
      <c r="I55" s="313">
        <f t="shared" si="2"/>
        <v>5</v>
      </c>
      <c r="J55" s="313">
        <f t="shared" si="2"/>
        <v>5.5</v>
      </c>
      <c r="K55" s="313">
        <f t="shared" si="2"/>
        <v>6</v>
      </c>
      <c r="L55" s="299"/>
      <c r="M55" s="299"/>
    </row>
    <row r="56" spans="2:13" ht="16.5" x14ac:dyDescent="0.45">
      <c r="B56" s="4" t="s">
        <v>731</v>
      </c>
      <c r="D56" s="314">
        <v>35000</v>
      </c>
      <c r="E56" s="316"/>
      <c r="F56" s="316"/>
      <c r="G56" s="316"/>
      <c r="H56" s="316"/>
      <c r="I56" s="316"/>
      <c r="J56" s="316"/>
      <c r="K56" s="316"/>
      <c r="L56" s="299"/>
      <c r="M56" s="299"/>
    </row>
    <row r="57" spans="2:13" ht="16.5" x14ac:dyDescent="0.45">
      <c r="B57" s="2"/>
      <c r="D57" s="314">
        <f>D56+2000</f>
        <v>37000</v>
      </c>
      <c r="E57" s="316"/>
      <c r="F57" s="316"/>
      <c r="G57" s="316"/>
      <c r="H57" s="316"/>
      <c r="I57" s="316"/>
      <c r="J57" s="316"/>
      <c r="K57" s="316"/>
      <c r="L57" s="299"/>
      <c r="M57" s="299"/>
    </row>
    <row r="58" spans="2:13" ht="16.5" x14ac:dyDescent="0.45">
      <c r="B58" s="2"/>
      <c r="D58" s="314">
        <f t="shared" ref="D58:D64" si="3">D57+2000</f>
        <v>39000</v>
      </c>
      <c r="E58" s="316"/>
      <c r="F58" s="316"/>
      <c r="G58" s="316"/>
      <c r="H58" s="316"/>
      <c r="I58" s="316"/>
      <c r="J58" s="316"/>
      <c r="K58" s="316"/>
      <c r="L58" s="299"/>
      <c r="M58" s="299"/>
    </row>
    <row r="59" spans="2:13" ht="16.5" x14ac:dyDescent="0.45">
      <c r="B59" s="2"/>
      <c r="D59" s="314">
        <f t="shared" si="3"/>
        <v>41000</v>
      </c>
      <c r="E59" s="316"/>
      <c r="F59" s="316"/>
      <c r="G59" s="316"/>
      <c r="H59" s="316"/>
      <c r="I59" s="316"/>
      <c r="J59" s="316"/>
      <c r="K59" s="316"/>
      <c r="L59" s="299"/>
      <c r="M59" s="299"/>
    </row>
    <row r="60" spans="2:13" ht="16.5" x14ac:dyDescent="0.45">
      <c r="B60" s="2"/>
      <c r="D60" s="314">
        <f t="shared" si="3"/>
        <v>43000</v>
      </c>
      <c r="E60" s="316"/>
      <c r="F60" s="316"/>
      <c r="G60" s="316"/>
      <c r="H60" s="316"/>
      <c r="I60" s="316"/>
      <c r="J60" s="316"/>
      <c r="K60" s="316"/>
      <c r="L60" s="299"/>
      <c r="M60" s="299"/>
    </row>
    <row r="61" spans="2:13" ht="16.5" x14ac:dyDescent="0.45">
      <c r="B61" s="2"/>
      <c r="D61" s="314">
        <f t="shared" si="3"/>
        <v>45000</v>
      </c>
      <c r="E61" s="316"/>
      <c r="F61" s="316"/>
      <c r="G61" s="316"/>
      <c r="H61" s="316"/>
      <c r="I61" s="316"/>
      <c r="J61" s="316"/>
      <c r="K61" s="316"/>
      <c r="L61" s="299"/>
      <c r="M61" s="299"/>
    </row>
    <row r="62" spans="2:13" ht="16.5" x14ac:dyDescent="0.45">
      <c r="B62" s="2"/>
      <c r="D62" s="314">
        <f t="shared" si="3"/>
        <v>47000</v>
      </c>
      <c r="E62" s="316"/>
      <c r="F62" s="316"/>
      <c r="G62" s="316"/>
      <c r="H62" s="316"/>
      <c r="I62" s="316"/>
      <c r="J62" s="316"/>
      <c r="K62" s="316"/>
      <c r="L62" s="299"/>
      <c r="M62" s="299"/>
    </row>
    <row r="63" spans="2:13" ht="16.5" x14ac:dyDescent="0.45">
      <c r="B63" s="2"/>
      <c r="D63" s="314">
        <f t="shared" si="3"/>
        <v>49000</v>
      </c>
      <c r="E63" s="316"/>
      <c r="F63" s="316"/>
      <c r="G63" s="316"/>
      <c r="H63" s="316"/>
      <c r="I63" s="316"/>
      <c r="J63" s="316"/>
      <c r="K63" s="316"/>
      <c r="L63" s="299"/>
      <c r="M63" s="299"/>
    </row>
    <row r="64" spans="2:13" ht="16.5" x14ac:dyDescent="0.45">
      <c r="B64" s="2"/>
      <c r="D64" s="314">
        <f t="shared" si="3"/>
        <v>51000</v>
      </c>
      <c r="E64" s="316"/>
      <c r="F64" s="316"/>
      <c r="G64" s="316"/>
      <c r="H64" s="316"/>
      <c r="I64" s="316"/>
      <c r="J64" s="316"/>
      <c r="K64" s="316"/>
      <c r="L64" s="299"/>
      <c r="M64" s="299"/>
    </row>
    <row r="65" spans="2:13" ht="16.5" x14ac:dyDescent="0.45">
      <c r="B65" s="299"/>
      <c r="C65" s="299"/>
      <c r="D65" s="299"/>
      <c r="E65" s="299"/>
      <c r="F65" s="299"/>
      <c r="G65" s="299"/>
      <c r="H65" s="299"/>
      <c r="I65" s="299"/>
      <c r="J65" s="299"/>
      <c r="K65" s="299"/>
      <c r="L65" s="299"/>
      <c r="M65" s="299"/>
    </row>
    <row r="66" spans="2:13" ht="16.5" x14ac:dyDescent="0.45">
      <c r="B66" s="299"/>
      <c r="C66" s="299"/>
      <c r="D66" s="299"/>
      <c r="E66" s="299"/>
      <c r="F66" s="299"/>
      <c r="G66" s="299"/>
      <c r="H66" s="299"/>
      <c r="I66" s="299"/>
      <c r="J66" s="299"/>
      <c r="K66" s="299"/>
      <c r="L66" s="299"/>
      <c r="M66" s="299"/>
    </row>
  </sheetData>
  <mergeCells count="1">
    <mergeCell ref="B56:B64"/>
  </mergeCells>
  <conditionalFormatting sqref="B38:C46">
    <cfRule type="expression" dxfId="34" priority="2">
      <formula>AND($C$37=$C38,$C$37&lt;&gt;"")</formula>
    </cfRule>
  </conditionalFormatting>
  <conditionalFormatting sqref="D56:D64">
    <cfRule type="expression" dxfId="33" priority="7">
      <formula>AND($D$55&lt;&gt;"",E56&lt;&gt;"",$D56=$C$17)</formula>
    </cfRule>
  </conditionalFormatting>
  <conditionalFormatting sqref="E55:K55">
    <cfRule type="expression" dxfId="32" priority="6">
      <formula>AND($D$55&lt;&gt;"",E56&lt;&gt;"",E$55=$C$14)</formula>
    </cfRule>
  </conditionalFormatting>
  <conditionalFormatting sqref="E56:K64">
    <cfRule type="expression" dxfId="31" priority="3">
      <formula>AND($D$55=E56,$D$55&lt;&gt;"")</formula>
    </cfRule>
    <cfRule type="expression" dxfId="30" priority="4">
      <formula>AND($D56=$C$17,$D$55&lt;&gt;"",E56&lt;&gt;"")</formula>
    </cfRule>
    <cfRule type="expression" dxfId="29" priority="5">
      <formula>AND(E$55=$C$14,$D$55&lt;&gt;"",E56&lt;&gt;"")</formula>
    </cfRule>
  </conditionalFormatting>
  <conditionalFormatting sqref="F37:L38">
    <cfRule type="expression" dxfId="28" priority="1">
      <formula>AND($E$38=F$38,$E$38&lt;&gt;"")</formula>
    </cfRule>
  </conditionalFormatting>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A990A-3140-422C-BB5F-025C0F1C88A0}">
  <dimension ref="A2:G8"/>
  <sheetViews>
    <sheetView zoomScale="80" zoomScaleNormal="80" workbookViewId="0">
      <selection activeCell="L23" sqref="L23"/>
    </sheetView>
  </sheetViews>
  <sheetFormatPr defaultRowHeight="14.5" x14ac:dyDescent="0.35"/>
  <cols>
    <col min="1" max="1" width="13.36328125" bestFit="1" customWidth="1"/>
    <col min="2" max="2" width="11.36328125" bestFit="1" customWidth="1"/>
    <col min="3" max="4" width="13.81640625" bestFit="1" customWidth="1"/>
    <col min="5" max="5" width="10.1796875" bestFit="1" customWidth="1"/>
    <col min="6" max="6" width="11.81640625" customWidth="1"/>
    <col min="7" max="7" width="13.1796875" customWidth="1"/>
  </cols>
  <sheetData>
    <row r="2" spans="1:7" x14ac:dyDescent="0.35">
      <c r="D2" t="s">
        <v>2713</v>
      </c>
      <c r="E2" t="s">
        <v>2714</v>
      </c>
      <c r="F2" s="236" t="s">
        <v>2715</v>
      </c>
      <c r="G2" s="236" t="s">
        <v>2716</v>
      </c>
    </row>
    <row r="3" spans="1:7" x14ac:dyDescent="0.35">
      <c r="A3" s="484" t="s">
        <v>2710</v>
      </c>
      <c r="B3" t="s">
        <v>2709</v>
      </c>
      <c r="D3" t="str">
        <f>A4</f>
        <v>Argentina</v>
      </c>
      <c r="E3">
        <f>GETPIVOTDATA("Fees",$A$3,"Country","Argentina")</f>
        <v>94564</v>
      </c>
      <c r="F3">
        <v>1</v>
      </c>
      <c r="G3">
        <v>1</v>
      </c>
    </row>
    <row r="4" spans="1:7" x14ac:dyDescent="0.35">
      <c r="A4" s="237" t="s">
        <v>925</v>
      </c>
      <c r="B4">
        <v>94564</v>
      </c>
      <c r="D4" t="str">
        <f>A6</f>
        <v>Kenya</v>
      </c>
      <c r="E4">
        <f>GETPIVOTDATA("Fees",$A$3,"Country","Kenya")</f>
        <v>120390</v>
      </c>
      <c r="F4">
        <v>2</v>
      </c>
      <c r="G4">
        <v>2</v>
      </c>
    </row>
    <row r="5" spans="1:7" x14ac:dyDescent="0.35">
      <c r="A5" s="237" t="s">
        <v>906</v>
      </c>
      <c r="B5">
        <v>228256</v>
      </c>
      <c r="D5" t="str">
        <f>A5</f>
        <v>Australia</v>
      </c>
      <c r="E5">
        <f>GETPIVOTDATA("Fees",$A$3,"Country","Australia")</f>
        <v>228256</v>
      </c>
      <c r="F5">
        <v>3</v>
      </c>
      <c r="G5">
        <v>3</v>
      </c>
    </row>
    <row r="6" spans="1:7" x14ac:dyDescent="0.35">
      <c r="A6" s="237" t="s">
        <v>957</v>
      </c>
      <c r="B6">
        <v>120390</v>
      </c>
      <c r="D6" t="s">
        <v>885</v>
      </c>
      <c r="E6">
        <f>GETPIVOTDATA("Fees",$A$3,"Country","USA")</f>
        <v>1505677</v>
      </c>
      <c r="F6">
        <v>4</v>
      </c>
      <c r="G6">
        <v>4</v>
      </c>
    </row>
    <row r="7" spans="1:7" x14ac:dyDescent="0.35">
      <c r="A7" s="237" t="s">
        <v>881</v>
      </c>
      <c r="B7">
        <v>2384385</v>
      </c>
      <c r="D7" t="s">
        <v>881</v>
      </c>
      <c r="E7">
        <f>GETPIVOTDATA("Fees",$A$3,"Country","UAE")</f>
        <v>2384385</v>
      </c>
      <c r="F7">
        <v>5</v>
      </c>
      <c r="G7">
        <v>5</v>
      </c>
    </row>
    <row r="8" spans="1:7" x14ac:dyDescent="0.35">
      <c r="A8" s="237" t="s">
        <v>885</v>
      </c>
      <c r="B8">
        <v>1505677</v>
      </c>
    </row>
  </sheetData>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87419-E903-4C26-9606-925500543A22}">
  <dimension ref="A4:B8"/>
  <sheetViews>
    <sheetView workbookViewId="0">
      <selection activeCell="L11" sqref="L11"/>
    </sheetView>
  </sheetViews>
  <sheetFormatPr defaultRowHeight="14.5" x14ac:dyDescent="0.35"/>
  <cols>
    <col min="1" max="1" width="14.453125" bestFit="1" customWidth="1"/>
    <col min="2" max="2" width="10.81640625" bestFit="1" customWidth="1"/>
  </cols>
  <sheetData>
    <row r="4" spans="1:2" x14ac:dyDescent="0.35">
      <c r="A4" s="484" t="s">
        <v>2710</v>
      </c>
      <c r="B4" t="s">
        <v>2709</v>
      </c>
    </row>
    <row r="5" spans="1:2" x14ac:dyDescent="0.35">
      <c r="A5" s="237" t="s">
        <v>24</v>
      </c>
      <c r="B5">
        <v>531511</v>
      </c>
    </row>
    <row r="6" spans="1:2" x14ac:dyDescent="0.35">
      <c r="A6" s="237" t="s">
        <v>29</v>
      </c>
      <c r="B6">
        <v>487245</v>
      </c>
    </row>
    <row r="7" spans="1:2" x14ac:dyDescent="0.35">
      <c r="A7" s="237" t="s">
        <v>30</v>
      </c>
      <c r="B7">
        <v>471713</v>
      </c>
    </row>
    <row r="8" spans="1:2" x14ac:dyDescent="0.35">
      <c r="A8" s="237" t="s">
        <v>2711</v>
      </c>
      <c r="B8">
        <v>1490469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9E575-FEAD-4E45-95A4-7BCBDDEF1632}">
  <dimension ref="A2:W18"/>
  <sheetViews>
    <sheetView showGridLines="0" tabSelected="1" zoomScale="80" zoomScaleNormal="80" workbookViewId="0">
      <selection activeCell="W1" sqref="W1:W1048576"/>
    </sheetView>
  </sheetViews>
  <sheetFormatPr defaultRowHeight="14.5" x14ac:dyDescent="0.35"/>
  <cols>
    <col min="1" max="1" width="2.08984375" style="493" customWidth="1"/>
    <col min="5" max="5" width="2.08984375" style="493" customWidth="1"/>
    <col min="11" max="11" width="2.08984375" customWidth="1"/>
    <col min="17" max="17" width="2.08984375" customWidth="1"/>
    <col min="23" max="23" width="2.08984375" style="493" customWidth="1"/>
  </cols>
  <sheetData>
    <row r="2" spans="9:20" x14ac:dyDescent="0.35">
      <c r="I2" t="s">
        <v>2120</v>
      </c>
      <c r="T2" t="s">
        <v>2718</v>
      </c>
    </row>
    <row r="17" spans="7:20" s="493" customFormat="1" x14ac:dyDescent="0.35"/>
    <row r="18" spans="7:20" s="493" customFormat="1" x14ac:dyDescent="0.35">
      <c r="G18" s="493" t="s">
        <v>888</v>
      </c>
      <c r="N18" s="493" t="s">
        <v>903</v>
      </c>
      <c r="T18" s="494" t="s">
        <v>2717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73CF9-EF5E-4D29-A723-76CF27B06AD5}">
  <dimension ref="A3:B8"/>
  <sheetViews>
    <sheetView workbookViewId="0">
      <selection activeCell="N12" sqref="N12"/>
    </sheetView>
  </sheetViews>
  <sheetFormatPr defaultRowHeight="14.5" x14ac:dyDescent="0.35"/>
  <cols>
    <col min="1" max="1" width="12.36328125" bestFit="1" customWidth="1"/>
    <col min="2" max="2" width="10.81640625" bestFit="1" customWidth="1"/>
    <col min="3" max="3" width="7" customWidth="1"/>
  </cols>
  <sheetData>
    <row r="3" spans="1:2" x14ac:dyDescent="0.35">
      <c r="A3" s="484" t="s">
        <v>2710</v>
      </c>
      <c r="B3" t="s">
        <v>2709</v>
      </c>
    </row>
    <row r="4" spans="1:2" x14ac:dyDescent="0.35">
      <c r="A4" s="237" t="s">
        <v>882</v>
      </c>
      <c r="B4">
        <v>1544085</v>
      </c>
    </row>
    <row r="5" spans="1:2" x14ac:dyDescent="0.35">
      <c r="A5" s="237" t="s">
        <v>907</v>
      </c>
      <c r="B5">
        <v>1480649</v>
      </c>
    </row>
    <row r="6" spans="1:2" x14ac:dyDescent="0.35">
      <c r="A6" s="237" t="s">
        <v>890</v>
      </c>
      <c r="B6">
        <v>1466818</v>
      </c>
    </row>
    <row r="7" spans="1:2" x14ac:dyDescent="0.35">
      <c r="A7" s="237" t="s">
        <v>2123</v>
      </c>
      <c r="B7">
        <v>1442517</v>
      </c>
    </row>
    <row r="8" spans="1:2" x14ac:dyDescent="0.35">
      <c r="A8" s="237" t="s">
        <v>2711</v>
      </c>
      <c r="B8">
        <v>5934069</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150F5-662D-41C8-B6DC-AFC0B94709FB}">
  <dimension ref="A3:B14"/>
  <sheetViews>
    <sheetView zoomScale="69" workbookViewId="0">
      <selection activeCell="O14" sqref="O14"/>
    </sheetView>
  </sheetViews>
  <sheetFormatPr defaultRowHeight="14.5" x14ac:dyDescent="0.35"/>
  <cols>
    <col min="1" max="1" width="15.6328125" bestFit="1" customWidth="1"/>
    <col min="2" max="2" width="10.81640625" bestFit="1" customWidth="1"/>
  </cols>
  <sheetData>
    <row r="3" spans="1:2" x14ac:dyDescent="0.35">
      <c r="A3" s="484" t="s">
        <v>2710</v>
      </c>
      <c r="B3" t="s">
        <v>2709</v>
      </c>
    </row>
    <row r="4" spans="1:2" x14ac:dyDescent="0.35">
      <c r="A4" s="237" t="s">
        <v>2130</v>
      </c>
      <c r="B4">
        <v>508895</v>
      </c>
    </row>
    <row r="5" spans="1:2" x14ac:dyDescent="0.35">
      <c r="A5" s="237" t="s">
        <v>2132</v>
      </c>
      <c r="B5">
        <v>513028</v>
      </c>
    </row>
    <row r="6" spans="1:2" x14ac:dyDescent="0.35">
      <c r="A6" s="237" t="s">
        <v>2127</v>
      </c>
      <c r="B6">
        <v>522593</v>
      </c>
    </row>
    <row r="7" spans="1:2" x14ac:dyDescent="0.35">
      <c r="A7" s="237" t="s">
        <v>2131</v>
      </c>
      <c r="B7">
        <v>547941</v>
      </c>
    </row>
    <row r="8" spans="1:2" x14ac:dyDescent="0.35">
      <c r="A8" s="237" t="s">
        <v>2125</v>
      </c>
      <c r="B8">
        <v>564165</v>
      </c>
    </row>
    <row r="9" spans="1:2" x14ac:dyDescent="0.35">
      <c r="A9" s="237" t="s">
        <v>2124</v>
      </c>
      <c r="B9">
        <v>591747</v>
      </c>
    </row>
    <row r="10" spans="1:2" x14ac:dyDescent="0.35">
      <c r="A10" s="237" t="s">
        <v>2133</v>
      </c>
      <c r="B10">
        <v>651488</v>
      </c>
    </row>
    <row r="11" spans="1:2" x14ac:dyDescent="0.35">
      <c r="A11" s="237" t="s">
        <v>2129</v>
      </c>
      <c r="B11">
        <v>673949</v>
      </c>
    </row>
    <row r="12" spans="1:2" x14ac:dyDescent="0.35">
      <c r="A12" s="237" t="s">
        <v>2126</v>
      </c>
      <c r="B12">
        <v>678978</v>
      </c>
    </row>
    <row r="13" spans="1:2" x14ac:dyDescent="0.35">
      <c r="A13" s="237" t="s">
        <v>2128</v>
      </c>
      <c r="B13">
        <v>681285</v>
      </c>
    </row>
    <row r="14" spans="1:2" x14ac:dyDescent="0.35">
      <c r="A14" s="237" t="s">
        <v>2711</v>
      </c>
      <c r="B14">
        <v>5934069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35DA0-0285-48B9-AB04-980D5136C064}">
  <dimension ref="A1:B16"/>
  <sheetViews>
    <sheetView workbookViewId="0">
      <selection activeCell="C8" sqref="C8"/>
    </sheetView>
  </sheetViews>
  <sheetFormatPr defaultRowHeight="14.5" x14ac:dyDescent="0.35"/>
  <cols>
    <col min="1" max="1" width="12.36328125" bestFit="1" customWidth="1"/>
    <col min="2" max="2" width="10.81640625" bestFit="1" customWidth="1"/>
    <col min="3" max="3" width="14" customWidth="1"/>
    <col min="4" max="4" width="10.7265625" bestFit="1" customWidth="1"/>
    <col min="5" max="13" width="6.81640625" bestFit="1" customWidth="1"/>
    <col min="14" max="14" width="10.7265625" bestFit="1" customWidth="1"/>
  </cols>
  <sheetData>
    <row r="1" spans="1:2" x14ac:dyDescent="0.35">
      <c r="A1" s="484" t="s">
        <v>873</v>
      </c>
      <c r="B1" t="s">
        <v>2712</v>
      </c>
    </row>
    <row r="3" spans="1:2" x14ac:dyDescent="0.35">
      <c r="A3" s="484" t="s">
        <v>2710</v>
      </c>
      <c r="B3" t="s">
        <v>2709</v>
      </c>
    </row>
    <row r="4" spans="1:2" x14ac:dyDescent="0.35">
      <c r="A4" s="485" t="s">
        <v>264</v>
      </c>
      <c r="B4">
        <v>475733</v>
      </c>
    </row>
    <row r="5" spans="1:2" x14ac:dyDescent="0.35">
      <c r="A5" s="485" t="s">
        <v>265</v>
      </c>
      <c r="B5">
        <v>429212</v>
      </c>
    </row>
    <row r="6" spans="1:2" x14ac:dyDescent="0.35">
      <c r="A6" s="485" t="s">
        <v>266</v>
      </c>
      <c r="B6">
        <v>580080</v>
      </c>
    </row>
    <row r="7" spans="1:2" x14ac:dyDescent="0.35">
      <c r="A7" s="485" t="s">
        <v>268</v>
      </c>
      <c r="B7">
        <v>491612</v>
      </c>
    </row>
    <row r="8" spans="1:2" x14ac:dyDescent="0.35">
      <c r="A8" s="485" t="s">
        <v>269</v>
      </c>
      <c r="B8">
        <v>470954</v>
      </c>
    </row>
    <row r="9" spans="1:2" x14ac:dyDescent="0.35">
      <c r="A9" s="485" t="s">
        <v>270</v>
      </c>
      <c r="B9">
        <v>572293</v>
      </c>
    </row>
    <row r="10" spans="1:2" x14ac:dyDescent="0.35">
      <c r="A10" s="485" t="s">
        <v>272</v>
      </c>
      <c r="B10">
        <v>539962</v>
      </c>
    </row>
    <row r="11" spans="1:2" x14ac:dyDescent="0.35">
      <c r="A11" s="485" t="s">
        <v>273</v>
      </c>
      <c r="B11">
        <v>536615</v>
      </c>
    </row>
    <row r="12" spans="1:2" x14ac:dyDescent="0.35">
      <c r="A12" s="485" t="s">
        <v>274</v>
      </c>
      <c r="B12">
        <v>401596</v>
      </c>
    </row>
    <row r="13" spans="1:2" x14ac:dyDescent="0.35">
      <c r="A13" s="485" t="s">
        <v>276</v>
      </c>
      <c r="B13">
        <v>423306</v>
      </c>
    </row>
    <row r="14" spans="1:2" x14ac:dyDescent="0.35">
      <c r="A14" s="485" t="s">
        <v>277</v>
      </c>
      <c r="B14">
        <v>476894</v>
      </c>
    </row>
    <row r="15" spans="1:2" x14ac:dyDescent="0.35">
      <c r="A15" s="485" t="s">
        <v>278</v>
      </c>
      <c r="B15">
        <v>535812</v>
      </c>
    </row>
    <row r="16" spans="1:2" x14ac:dyDescent="0.35">
      <c r="A16" s="485" t="s">
        <v>2711</v>
      </c>
      <c r="B16">
        <v>5934069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994AF-89C5-45EB-9901-1328F6282880}">
  <sheetPr codeName="Sheet20"/>
  <dimension ref="B1:O1206"/>
  <sheetViews>
    <sheetView showGridLines="0" topLeftCell="A6" zoomScale="80" zoomScaleNormal="80" workbookViewId="0">
      <selection activeCell="D29" sqref="D29"/>
    </sheetView>
  </sheetViews>
  <sheetFormatPr defaultRowHeight="14.5" x14ac:dyDescent="0.35"/>
  <cols>
    <col min="1" max="1" width="2.7265625" customWidth="1"/>
    <col min="2" max="3" width="2.26953125" customWidth="1"/>
    <col min="4" max="4" width="45.7265625" customWidth="1"/>
    <col min="5" max="5" width="4.81640625" customWidth="1"/>
    <col min="6" max="6" width="13.54296875" style="483" customWidth="1"/>
    <col min="7" max="7" width="13.1796875" customWidth="1"/>
    <col min="8" max="8" width="13.81640625" customWidth="1"/>
    <col min="9" max="9" width="18.453125" customWidth="1"/>
    <col min="10" max="10" width="27.1796875" bestFit="1" customWidth="1"/>
    <col min="11" max="11" width="17.7265625" customWidth="1"/>
    <col min="12" max="12" width="14.1796875" customWidth="1"/>
    <col min="13" max="13" width="14.81640625" customWidth="1"/>
    <col min="14" max="14" width="14.7265625" customWidth="1"/>
    <col min="15" max="15" width="23.81640625" customWidth="1"/>
  </cols>
  <sheetData>
    <row r="1" spans="2:15" s="25" customFormat="1" ht="16" x14ac:dyDescent="0.45">
      <c r="F1" s="481"/>
    </row>
    <row r="2" spans="2:15" s="25" customFormat="1" ht="16" x14ac:dyDescent="0.45">
      <c r="B2" s="126"/>
      <c r="C2" s="126"/>
      <c r="D2" s="126"/>
      <c r="E2" s="126"/>
      <c r="F2" s="482"/>
      <c r="G2" s="126"/>
      <c r="H2" s="126"/>
      <c r="I2" s="126"/>
      <c r="J2" s="126"/>
      <c r="K2" s="126"/>
      <c r="L2" s="126"/>
      <c r="M2" s="126"/>
      <c r="N2" s="126"/>
      <c r="O2" s="126"/>
    </row>
    <row r="3" spans="2:15" s="25" customFormat="1" ht="16" x14ac:dyDescent="0.45">
      <c r="B3" s="127" t="s">
        <v>326</v>
      </c>
      <c r="C3" s="128"/>
      <c r="D3" s="126"/>
      <c r="E3" s="126"/>
      <c r="F3" s="482"/>
      <c r="G3" s="126"/>
      <c r="H3" s="126"/>
      <c r="I3" s="126"/>
      <c r="J3" s="126"/>
      <c r="K3" s="126"/>
      <c r="L3" s="126"/>
      <c r="M3" s="126"/>
      <c r="N3" s="126"/>
      <c r="O3" s="126"/>
    </row>
    <row r="4" spans="2:15" s="25" customFormat="1" ht="16" x14ac:dyDescent="0.45">
      <c r="B4" s="128" t="s">
        <v>364</v>
      </c>
      <c r="C4" s="126"/>
      <c r="D4" s="126"/>
      <c r="E4" s="126"/>
      <c r="F4" s="482"/>
      <c r="G4" s="126"/>
      <c r="H4" s="126"/>
      <c r="I4" s="126"/>
      <c r="J4" s="126"/>
      <c r="K4" s="126"/>
      <c r="L4" s="126"/>
      <c r="M4" s="126"/>
      <c r="N4" s="126"/>
      <c r="O4" s="126"/>
    </row>
    <row r="5" spans="2:15" s="25" customFormat="1" ht="16" x14ac:dyDescent="0.45">
      <c r="F5" s="481"/>
    </row>
    <row r="7" spans="2:15" x14ac:dyDescent="0.35">
      <c r="B7" s="329" t="s">
        <v>16</v>
      </c>
      <c r="C7" s="329"/>
      <c r="D7" s="329"/>
    </row>
    <row r="8" spans="2:15" x14ac:dyDescent="0.35">
      <c r="F8" s="483" t="s">
        <v>308</v>
      </c>
      <c r="G8" t="s">
        <v>873</v>
      </c>
      <c r="H8" t="s">
        <v>874</v>
      </c>
      <c r="I8" t="s">
        <v>875</v>
      </c>
      <c r="J8" t="s">
        <v>876</v>
      </c>
      <c r="K8" t="s">
        <v>877</v>
      </c>
      <c r="L8" t="s">
        <v>2134</v>
      </c>
      <c r="M8" t="s">
        <v>878</v>
      </c>
    </row>
    <row r="9" spans="2:15" x14ac:dyDescent="0.35">
      <c r="B9" t="s">
        <v>879</v>
      </c>
      <c r="F9" s="483">
        <v>43399</v>
      </c>
      <c r="G9">
        <f>YEAR(F9)</f>
        <v>2018</v>
      </c>
      <c r="H9" t="s">
        <v>880</v>
      </c>
      <c r="I9" t="s">
        <v>881</v>
      </c>
      <c r="J9" t="s">
        <v>29</v>
      </c>
      <c r="K9" t="s">
        <v>882</v>
      </c>
      <c r="L9" t="s">
        <v>2124</v>
      </c>
      <c r="M9">
        <v>6816</v>
      </c>
    </row>
    <row r="10" spans="2:15" x14ac:dyDescent="0.35">
      <c r="B10" t="s">
        <v>883</v>
      </c>
      <c r="F10" s="483">
        <v>43238</v>
      </c>
      <c r="G10">
        <f t="shared" ref="G10:G73" si="0">YEAR(F10)</f>
        <v>2018</v>
      </c>
      <c r="H10" t="s">
        <v>884</v>
      </c>
      <c r="I10" t="s">
        <v>885</v>
      </c>
      <c r="J10" t="s">
        <v>24</v>
      </c>
      <c r="K10" t="s">
        <v>882</v>
      </c>
      <c r="L10" t="s">
        <v>2124</v>
      </c>
      <c r="M10">
        <v>4537</v>
      </c>
    </row>
    <row r="11" spans="2:15" x14ac:dyDescent="0.35">
      <c r="F11" s="483">
        <v>43041</v>
      </c>
      <c r="G11">
        <f t="shared" si="0"/>
        <v>2017</v>
      </c>
      <c r="H11" t="s">
        <v>886</v>
      </c>
      <c r="I11" t="s">
        <v>885</v>
      </c>
      <c r="J11" t="s">
        <v>38</v>
      </c>
      <c r="K11" t="s">
        <v>2123</v>
      </c>
      <c r="L11" t="s">
        <v>2127</v>
      </c>
      <c r="M11">
        <v>6700</v>
      </c>
    </row>
    <row r="12" spans="2:15" x14ac:dyDescent="0.35">
      <c r="B12" t="s">
        <v>887</v>
      </c>
      <c r="C12" t="s">
        <v>888</v>
      </c>
      <c r="F12" s="483">
        <v>42933</v>
      </c>
      <c r="G12">
        <f t="shared" si="0"/>
        <v>2017</v>
      </c>
      <c r="H12" t="s">
        <v>889</v>
      </c>
      <c r="I12" t="s">
        <v>885</v>
      </c>
      <c r="J12" t="s">
        <v>35</v>
      </c>
      <c r="K12" t="s">
        <v>890</v>
      </c>
      <c r="L12" t="s">
        <v>2128</v>
      </c>
      <c r="M12">
        <v>5037</v>
      </c>
    </row>
    <row r="13" spans="2:15" x14ac:dyDescent="0.35">
      <c r="D13" s="330" t="s">
        <v>2122</v>
      </c>
      <c r="F13" s="483">
        <v>43045</v>
      </c>
      <c r="G13">
        <f t="shared" si="0"/>
        <v>2017</v>
      </c>
      <c r="H13" t="s">
        <v>892</v>
      </c>
      <c r="I13" t="s">
        <v>893</v>
      </c>
      <c r="J13" t="s">
        <v>28</v>
      </c>
      <c r="K13" t="s">
        <v>882</v>
      </c>
      <c r="L13" t="s">
        <v>2129</v>
      </c>
      <c r="M13">
        <v>6937</v>
      </c>
    </row>
    <row r="14" spans="2:15" x14ac:dyDescent="0.35">
      <c r="F14" s="483">
        <v>42772</v>
      </c>
      <c r="G14">
        <f t="shared" si="0"/>
        <v>2017</v>
      </c>
      <c r="H14" t="s">
        <v>894</v>
      </c>
      <c r="I14" t="s">
        <v>895</v>
      </c>
      <c r="J14" t="s">
        <v>38</v>
      </c>
      <c r="K14" t="s">
        <v>890</v>
      </c>
      <c r="L14" t="s">
        <v>2124</v>
      </c>
      <c r="M14">
        <v>5342</v>
      </c>
    </row>
    <row r="15" spans="2:15" x14ac:dyDescent="0.35">
      <c r="B15" t="s">
        <v>896</v>
      </c>
      <c r="C15" t="s">
        <v>897</v>
      </c>
      <c r="F15" s="483">
        <v>43346</v>
      </c>
      <c r="G15">
        <f t="shared" si="0"/>
        <v>2018</v>
      </c>
      <c r="H15" t="s">
        <v>898</v>
      </c>
      <c r="I15" t="s">
        <v>885</v>
      </c>
      <c r="J15" t="s">
        <v>33</v>
      </c>
      <c r="K15" t="s">
        <v>2123</v>
      </c>
      <c r="L15" t="s">
        <v>2130</v>
      </c>
      <c r="M15">
        <v>2244</v>
      </c>
    </row>
    <row r="16" spans="2:15" x14ac:dyDescent="0.35">
      <c r="D16" s="330" t="s">
        <v>2121</v>
      </c>
      <c r="F16" s="483">
        <v>43337</v>
      </c>
      <c r="G16">
        <f t="shared" si="0"/>
        <v>2018</v>
      </c>
      <c r="H16" t="s">
        <v>900</v>
      </c>
      <c r="I16" t="s">
        <v>885</v>
      </c>
      <c r="J16" t="s">
        <v>37</v>
      </c>
      <c r="K16" t="s">
        <v>890</v>
      </c>
      <c r="L16" t="s">
        <v>2131</v>
      </c>
      <c r="M16">
        <v>1469</v>
      </c>
    </row>
    <row r="17" spans="2:13" x14ac:dyDescent="0.35">
      <c r="F17" s="483">
        <v>43023</v>
      </c>
      <c r="G17">
        <f t="shared" si="0"/>
        <v>2017</v>
      </c>
      <c r="H17" t="s">
        <v>901</v>
      </c>
      <c r="I17" t="s">
        <v>885</v>
      </c>
      <c r="J17" t="s">
        <v>29</v>
      </c>
      <c r="K17" t="s">
        <v>2123</v>
      </c>
      <c r="L17" t="s">
        <v>2124</v>
      </c>
      <c r="M17">
        <v>1229</v>
      </c>
    </row>
    <row r="18" spans="2:13" x14ac:dyDescent="0.35">
      <c r="B18" t="s">
        <v>902</v>
      </c>
      <c r="C18" t="s">
        <v>903</v>
      </c>
      <c r="F18" s="483">
        <v>43196</v>
      </c>
      <c r="G18">
        <f t="shared" si="0"/>
        <v>2018</v>
      </c>
      <c r="H18" t="s">
        <v>904</v>
      </c>
      <c r="I18" t="s">
        <v>885</v>
      </c>
      <c r="J18" t="s">
        <v>38</v>
      </c>
      <c r="K18" t="s">
        <v>882</v>
      </c>
      <c r="L18" t="s">
        <v>2128</v>
      </c>
      <c r="M18">
        <v>6858</v>
      </c>
    </row>
    <row r="19" spans="2:13" x14ac:dyDescent="0.35">
      <c r="D19" s="330" t="s">
        <v>891</v>
      </c>
      <c r="F19" s="483">
        <v>42809</v>
      </c>
      <c r="G19">
        <f t="shared" si="0"/>
        <v>2017</v>
      </c>
      <c r="H19" t="s">
        <v>905</v>
      </c>
      <c r="I19" t="s">
        <v>906</v>
      </c>
      <c r="J19" t="s">
        <v>31</v>
      </c>
      <c r="K19" t="s">
        <v>907</v>
      </c>
      <c r="L19" t="s">
        <v>2124</v>
      </c>
      <c r="M19">
        <v>2011</v>
      </c>
    </row>
    <row r="20" spans="2:13" x14ac:dyDescent="0.35">
      <c r="F20" s="483">
        <v>42862</v>
      </c>
      <c r="G20">
        <f t="shared" si="0"/>
        <v>2017</v>
      </c>
      <c r="H20" t="s">
        <v>908</v>
      </c>
      <c r="I20" t="s">
        <v>885</v>
      </c>
      <c r="J20" t="s">
        <v>30</v>
      </c>
      <c r="K20" t="s">
        <v>2123</v>
      </c>
      <c r="L20" t="s">
        <v>2129</v>
      </c>
      <c r="M20">
        <v>1475</v>
      </c>
    </row>
    <row r="21" spans="2:13" x14ac:dyDescent="0.35">
      <c r="B21" t="s">
        <v>909</v>
      </c>
      <c r="C21" t="s">
        <v>910</v>
      </c>
      <c r="F21" s="483">
        <v>43156</v>
      </c>
      <c r="G21">
        <f t="shared" si="0"/>
        <v>2018</v>
      </c>
      <c r="H21" t="s">
        <v>911</v>
      </c>
      <c r="I21" t="s">
        <v>912</v>
      </c>
      <c r="J21" t="s">
        <v>36</v>
      </c>
      <c r="K21" t="s">
        <v>2123</v>
      </c>
      <c r="L21" t="s">
        <v>2131</v>
      </c>
      <c r="M21">
        <v>6524</v>
      </c>
    </row>
    <row r="22" spans="2:13" x14ac:dyDescent="0.35">
      <c r="D22" s="330" t="s">
        <v>899</v>
      </c>
      <c r="F22" s="483">
        <v>42741</v>
      </c>
      <c r="G22">
        <f t="shared" si="0"/>
        <v>2017</v>
      </c>
      <c r="H22" t="s">
        <v>913</v>
      </c>
      <c r="I22" t="s">
        <v>885</v>
      </c>
      <c r="J22" t="s">
        <v>29</v>
      </c>
      <c r="K22" t="s">
        <v>907</v>
      </c>
      <c r="L22" t="s">
        <v>2125</v>
      </c>
      <c r="M22">
        <v>3650</v>
      </c>
    </row>
    <row r="23" spans="2:13" x14ac:dyDescent="0.35">
      <c r="F23" s="483">
        <v>42880</v>
      </c>
      <c r="G23">
        <f t="shared" si="0"/>
        <v>2017</v>
      </c>
      <c r="H23" t="s">
        <v>914</v>
      </c>
      <c r="I23" t="s">
        <v>885</v>
      </c>
      <c r="J23" t="s">
        <v>38</v>
      </c>
      <c r="K23" t="s">
        <v>2123</v>
      </c>
      <c r="L23" t="s">
        <v>2130</v>
      </c>
      <c r="M23">
        <v>3773</v>
      </c>
    </row>
    <row r="24" spans="2:13" x14ac:dyDescent="0.35">
      <c r="B24" t="s">
        <v>915</v>
      </c>
      <c r="C24" t="s">
        <v>2120</v>
      </c>
      <c r="F24" s="483">
        <v>42762</v>
      </c>
      <c r="G24">
        <f t="shared" si="0"/>
        <v>2017</v>
      </c>
      <c r="H24" t="s">
        <v>916</v>
      </c>
      <c r="I24" t="s">
        <v>917</v>
      </c>
      <c r="J24" t="s">
        <v>38</v>
      </c>
      <c r="K24" t="s">
        <v>907</v>
      </c>
      <c r="L24" t="s">
        <v>2128</v>
      </c>
      <c r="M24">
        <v>7807</v>
      </c>
    </row>
    <row r="25" spans="2:13" x14ac:dyDescent="0.35">
      <c r="D25" s="330" t="s">
        <v>918</v>
      </c>
      <c r="F25" s="483">
        <v>42992</v>
      </c>
      <c r="G25">
        <f t="shared" si="0"/>
        <v>2017</v>
      </c>
      <c r="H25" t="s">
        <v>919</v>
      </c>
      <c r="I25" t="s">
        <v>885</v>
      </c>
      <c r="J25" t="s">
        <v>23</v>
      </c>
      <c r="K25" t="s">
        <v>890</v>
      </c>
      <c r="L25" t="s">
        <v>2127</v>
      </c>
      <c r="M25">
        <v>3953</v>
      </c>
    </row>
    <row r="26" spans="2:13" x14ac:dyDescent="0.35">
      <c r="F26" s="483">
        <v>42959</v>
      </c>
      <c r="G26">
        <f t="shared" si="0"/>
        <v>2017</v>
      </c>
      <c r="H26" t="s">
        <v>920</v>
      </c>
      <c r="I26" t="s">
        <v>917</v>
      </c>
      <c r="J26" t="s">
        <v>24</v>
      </c>
      <c r="K26" t="s">
        <v>907</v>
      </c>
      <c r="L26" t="s">
        <v>2129</v>
      </c>
      <c r="M26">
        <v>5727</v>
      </c>
    </row>
    <row r="27" spans="2:13" x14ac:dyDescent="0.35">
      <c r="F27" s="483">
        <v>42833</v>
      </c>
      <c r="G27">
        <f t="shared" si="0"/>
        <v>2017</v>
      </c>
      <c r="H27" t="s">
        <v>921</v>
      </c>
      <c r="I27" t="s">
        <v>906</v>
      </c>
      <c r="J27" t="s">
        <v>23</v>
      </c>
      <c r="K27" t="s">
        <v>2123</v>
      </c>
      <c r="L27" t="s">
        <v>2126</v>
      </c>
      <c r="M27">
        <v>3471</v>
      </c>
    </row>
    <row r="28" spans="2:13" x14ac:dyDescent="0.35">
      <c r="F28" s="483">
        <v>43013</v>
      </c>
      <c r="G28">
        <f t="shared" si="0"/>
        <v>2017</v>
      </c>
      <c r="H28" t="s">
        <v>922</v>
      </c>
      <c r="I28" t="s">
        <v>923</v>
      </c>
      <c r="J28" t="s">
        <v>33</v>
      </c>
      <c r="K28" t="s">
        <v>890</v>
      </c>
      <c r="L28" t="s">
        <v>2132</v>
      </c>
      <c r="M28">
        <v>2045</v>
      </c>
    </row>
    <row r="29" spans="2:13" x14ac:dyDescent="0.35">
      <c r="F29" s="483">
        <v>42812</v>
      </c>
      <c r="G29">
        <f t="shared" si="0"/>
        <v>2017</v>
      </c>
      <c r="H29" t="s">
        <v>924</v>
      </c>
      <c r="I29" t="s">
        <v>925</v>
      </c>
      <c r="J29" t="s">
        <v>23</v>
      </c>
      <c r="K29" t="s">
        <v>890</v>
      </c>
      <c r="L29" t="s">
        <v>2131</v>
      </c>
      <c r="M29">
        <v>7920</v>
      </c>
    </row>
    <row r="30" spans="2:13" x14ac:dyDescent="0.35">
      <c r="F30" s="483">
        <v>42993</v>
      </c>
      <c r="G30">
        <f t="shared" si="0"/>
        <v>2017</v>
      </c>
      <c r="H30" t="s">
        <v>926</v>
      </c>
      <c r="I30" t="s">
        <v>885</v>
      </c>
      <c r="J30" t="s">
        <v>36</v>
      </c>
      <c r="K30" t="s">
        <v>2123</v>
      </c>
      <c r="L30" t="s">
        <v>2128</v>
      </c>
      <c r="M30">
        <v>7400</v>
      </c>
    </row>
    <row r="31" spans="2:13" x14ac:dyDescent="0.35">
      <c r="F31" s="483">
        <v>43176</v>
      </c>
      <c r="G31">
        <f t="shared" si="0"/>
        <v>2018</v>
      </c>
      <c r="H31" t="s">
        <v>927</v>
      </c>
      <c r="I31" t="s">
        <v>885</v>
      </c>
      <c r="J31" t="s">
        <v>36</v>
      </c>
      <c r="K31" t="s">
        <v>2123</v>
      </c>
      <c r="L31" t="s">
        <v>2132</v>
      </c>
      <c r="M31">
        <v>6315</v>
      </c>
    </row>
    <row r="32" spans="2:13" x14ac:dyDescent="0.35">
      <c r="F32" s="483">
        <v>43263</v>
      </c>
      <c r="G32">
        <f t="shared" si="0"/>
        <v>2018</v>
      </c>
      <c r="H32" t="s">
        <v>928</v>
      </c>
      <c r="I32" t="s">
        <v>885</v>
      </c>
      <c r="J32" t="s">
        <v>35</v>
      </c>
      <c r="K32" t="s">
        <v>2123</v>
      </c>
      <c r="L32" t="s">
        <v>2125</v>
      </c>
      <c r="M32">
        <v>6182</v>
      </c>
    </row>
    <row r="33" spans="6:13" x14ac:dyDescent="0.35">
      <c r="F33" s="483">
        <v>43038</v>
      </c>
      <c r="G33">
        <f t="shared" si="0"/>
        <v>2017</v>
      </c>
      <c r="H33" t="s">
        <v>929</v>
      </c>
      <c r="I33" t="s">
        <v>930</v>
      </c>
      <c r="J33" t="s">
        <v>36</v>
      </c>
      <c r="K33" t="s">
        <v>907</v>
      </c>
      <c r="L33" t="s">
        <v>2127</v>
      </c>
      <c r="M33">
        <v>3214</v>
      </c>
    </row>
    <row r="34" spans="6:13" x14ac:dyDescent="0.35">
      <c r="F34" s="483">
        <v>43341</v>
      </c>
      <c r="G34">
        <f t="shared" si="0"/>
        <v>2018</v>
      </c>
      <c r="H34" t="s">
        <v>931</v>
      </c>
      <c r="I34" t="s">
        <v>932</v>
      </c>
      <c r="J34" t="s">
        <v>31</v>
      </c>
      <c r="K34" t="s">
        <v>882</v>
      </c>
      <c r="L34" t="s">
        <v>2128</v>
      </c>
      <c r="M34">
        <v>8098</v>
      </c>
    </row>
    <row r="35" spans="6:13" x14ac:dyDescent="0.35">
      <c r="F35" s="483">
        <v>43089</v>
      </c>
      <c r="G35">
        <f t="shared" si="0"/>
        <v>2017</v>
      </c>
      <c r="H35" t="s">
        <v>933</v>
      </c>
      <c r="I35" t="s">
        <v>932</v>
      </c>
      <c r="J35" t="s">
        <v>36</v>
      </c>
      <c r="K35" t="s">
        <v>890</v>
      </c>
      <c r="L35" t="s">
        <v>2125</v>
      </c>
      <c r="M35">
        <v>7285</v>
      </c>
    </row>
    <row r="36" spans="6:13" x14ac:dyDescent="0.35">
      <c r="F36" s="483">
        <v>43188</v>
      </c>
      <c r="G36">
        <f t="shared" si="0"/>
        <v>2018</v>
      </c>
      <c r="H36" t="s">
        <v>934</v>
      </c>
      <c r="I36" t="s">
        <v>885</v>
      </c>
      <c r="J36" t="s">
        <v>32</v>
      </c>
      <c r="K36" t="s">
        <v>890</v>
      </c>
      <c r="L36" t="s">
        <v>2131</v>
      </c>
      <c r="M36">
        <v>1865</v>
      </c>
    </row>
    <row r="37" spans="6:13" x14ac:dyDescent="0.35">
      <c r="F37" s="483">
        <v>42938</v>
      </c>
      <c r="G37">
        <f t="shared" si="0"/>
        <v>2017</v>
      </c>
      <c r="H37" t="s">
        <v>935</v>
      </c>
      <c r="I37" t="s">
        <v>885</v>
      </c>
      <c r="J37" t="s">
        <v>36</v>
      </c>
      <c r="K37" t="s">
        <v>2123</v>
      </c>
      <c r="L37" t="s">
        <v>2132</v>
      </c>
      <c r="M37">
        <v>5422</v>
      </c>
    </row>
    <row r="38" spans="6:13" x14ac:dyDescent="0.35">
      <c r="F38" s="483">
        <v>43114</v>
      </c>
      <c r="G38">
        <f t="shared" si="0"/>
        <v>2018</v>
      </c>
      <c r="H38" t="s">
        <v>936</v>
      </c>
      <c r="I38" t="s">
        <v>885</v>
      </c>
      <c r="J38" t="s">
        <v>37</v>
      </c>
      <c r="K38" t="s">
        <v>2123</v>
      </c>
      <c r="L38" t="s">
        <v>2132</v>
      </c>
      <c r="M38">
        <v>1819</v>
      </c>
    </row>
    <row r="39" spans="6:13" x14ac:dyDescent="0.35">
      <c r="F39" s="483">
        <v>42974</v>
      </c>
      <c r="G39">
        <f t="shared" si="0"/>
        <v>2017</v>
      </c>
      <c r="H39" t="s">
        <v>937</v>
      </c>
      <c r="I39" t="s">
        <v>932</v>
      </c>
      <c r="J39" t="s">
        <v>36</v>
      </c>
      <c r="K39" t="s">
        <v>2123</v>
      </c>
      <c r="L39" t="s">
        <v>2129</v>
      </c>
      <c r="M39">
        <v>3962</v>
      </c>
    </row>
    <row r="40" spans="6:13" x14ac:dyDescent="0.35">
      <c r="F40" s="483">
        <v>42947</v>
      </c>
      <c r="G40">
        <f t="shared" si="0"/>
        <v>2017</v>
      </c>
      <c r="H40" t="s">
        <v>938</v>
      </c>
      <c r="I40" t="s">
        <v>939</v>
      </c>
      <c r="J40" t="s">
        <v>23</v>
      </c>
      <c r="K40" t="s">
        <v>2123</v>
      </c>
      <c r="L40" t="s">
        <v>2130</v>
      </c>
      <c r="M40">
        <v>5957</v>
      </c>
    </row>
    <row r="41" spans="6:13" x14ac:dyDescent="0.35">
      <c r="F41" s="483">
        <v>43125</v>
      </c>
      <c r="G41">
        <f t="shared" si="0"/>
        <v>2018</v>
      </c>
      <c r="H41" t="s">
        <v>940</v>
      </c>
      <c r="I41" t="s">
        <v>906</v>
      </c>
      <c r="J41" t="s">
        <v>35</v>
      </c>
      <c r="K41" t="s">
        <v>890</v>
      </c>
      <c r="L41" t="s">
        <v>2126</v>
      </c>
      <c r="M41">
        <v>6274</v>
      </c>
    </row>
    <row r="42" spans="6:13" x14ac:dyDescent="0.35">
      <c r="F42" s="483">
        <v>43352</v>
      </c>
      <c r="G42">
        <f t="shared" si="0"/>
        <v>2018</v>
      </c>
      <c r="H42" t="s">
        <v>941</v>
      </c>
      <c r="I42" t="s">
        <v>939</v>
      </c>
      <c r="J42" t="s">
        <v>24</v>
      </c>
      <c r="K42" t="s">
        <v>882</v>
      </c>
      <c r="L42" t="s">
        <v>2131</v>
      </c>
      <c r="M42">
        <v>4580</v>
      </c>
    </row>
    <row r="43" spans="6:13" x14ac:dyDescent="0.35">
      <c r="F43" s="483">
        <v>43218</v>
      </c>
      <c r="G43">
        <f t="shared" si="0"/>
        <v>2018</v>
      </c>
      <c r="H43" t="s">
        <v>942</v>
      </c>
      <c r="I43" t="s">
        <v>885</v>
      </c>
      <c r="J43" t="s">
        <v>32</v>
      </c>
      <c r="K43" t="s">
        <v>890</v>
      </c>
      <c r="L43" t="s">
        <v>2130</v>
      </c>
      <c r="M43">
        <v>4724</v>
      </c>
    </row>
    <row r="44" spans="6:13" x14ac:dyDescent="0.35">
      <c r="F44" s="483">
        <v>43344</v>
      </c>
      <c r="G44">
        <f t="shared" si="0"/>
        <v>2018</v>
      </c>
      <c r="H44" t="s">
        <v>943</v>
      </c>
      <c r="I44" t="s">
        <v>906</v>
      </c>
      <c r="J44" t="s">
        <v>32</v>
      </c>
      <c r="K44" t="s">
        <v>882</v>
      </c>
      <c r="L44" t="s">
        <v>2129</v>
      </c>
      <c r="M44">
        <v>2416</v>
      </c>
    </row>
    <row r="45" spans="6:13" x14ac:dyDescent="0.35">
      <c r="F45" s="483">
        <v>43364</v>
      </c>
      <c r="G45">
        <f t="shared" si="0"/>
        <v>2018</v>
      </c>
      <c r="H45" t="s">
        <v>944</v>
      </c>
      <c r="I45" t="s">
        <v>881</v>
      </c>
      <c r="J45" t="s">
        <v>29</v>
      </c>
      <c r="K45" t="s">
        <v>907</v>
      </c>
      <c r="L45" t="s">
        <v>2129</v>
      </c>
      <c r="M45">
        <v>2330</v>
      </c>
    </row>
    <row r="46" spans="6:13" x14ac:dyDescent="0.35">
      <c r="F46" s="483">
        <v>42981</v>
      </c>
      <c r="G46">
        <f t="shared" si="0"/>
        <v>2017</v>
      </c>
      <c r="H46" t="s">
        <v>945</v>
      </c>
      <c r="I46" t="s">
        <v>881</v>
      </c>
      <c r="J46" t="s">
        <v>31</v>
      </c>
      <c r="K46" t="s">
        <v>882</v>
      </c>
      <c r="L46" t="s">
        <v>2128</v>
      </c>
      <c r="M46">
        <v>1497</v>
      </c>
    </row>
    <row r="47" spans="6:13" x14ac:dyDescent="0.35">
      <c r="F47" s="483">
        <v>43268</v>
      </c>
      <c r="G47">
        <f t="shared" si="0"/>
        <v>2018</v>
      </c>
      <c r="H47" t="s">
        <v>946</v>
      </c>
      <c r="I47" t="s">
        <v>881</v>
      </c>
      <c r="J47" t="s">
        <v>36</v>
      </c>
      <c r="K47" t="s">
        <v>882</v>
      </c>
      <c r="L47" t="s">
        <v>2133</v>
      </c>
      <c r="M47">
        <v>3284</v>
      </c>
    </row>
    <row r="48" spans="6:13" x14ac:dyDescent="0.35">
      <c r="F48" s="483">
        <v>43035</v>
      </c>
      <c r="G48">
        <f t="shared" si="0"/>
        <v>2017</v>
      </c>
      <c r="H48" t="s">
        <v>947</v>
      </c>
      <c r="I48" t="s">
        <v>885</v>
      </c>
      <c r="J48" t="s">
        <v>32</v>
      </c>
      <c r="K48" t="s">
        <v>890</v>
      </c>
      <c r="L48" t="s">
        <v>2127</v>
      </c>
      <c r="M48">
        <v>4282</v>
      </c>
    </row>
    <row r="49" spans="6:13" x14ac:dyDescent="0.35">
      <c r="F49" s="483">
        <v>42747</v>
      </c>
      <c r="G49">
        <f t="shared" si="0"/>
        <v>2017</v>
      </c>
      <c r="H49" t="s">
        <v>948</v>
      </c>
      <c r="I49" t="s">
        <v>895</v>
      </c>
      <c r="J49" t="s">
        <v>29</v>
      </c>
      <c r="K49" t="s">
        <v>2123</v>
      </c>
      <c r="L49" t="s">
        <v>2133</v>
      </c>
      <c r="M49">
        <v>7293</v>
      </c>
    </row>
    <row r="50" spans="6:13" x14ac:dyDescent="0.35">
      <c r="F50" s="483">
        <v>43219</v>
      </c>
      <c r="G50">
        <f t="shared" si="0"/>
        <v>2018</v>
      </c>
      <c r="H50" t="s">
        <v>949</v>
      </c>
      <c r="I50" t="s">
        <v>881</v>
      </c>
      <c r="J50" t="s">
        <v>30</v>
      </c>
      <c r="K50" t="s">
        <v>890</v>
      </c>
      <c r="L50" t="s">
        <v>2133</v>
      </c>
      <c r="M50">
        <v>3619</v>
      </c>
    </row>
    <row r="51" spans="6:13" x14ac:dyDescent="0.35">
      <c r="F51" s="483">
        <v>43339</v>
      </c>
      <c r="G51">
        <f t="shared" si="0"/>
        <v>2018</v>
      </c>
      <c r="H51" t="s">
        <v>950</v>
      </c>
      <c r="I51" t="s">
        <v>881</v>
      </c>
      <c r="J51" t="s">
        <v>37</v>
      </c>
      <c r="K51" t="s">
        <v>882</v>
      </c>
      <c r="L51" t="s">
        <v>2130</v>
      </c>
      <c r="M51">
        <v>7151</v>
      </c>
    </row>
    <row r="52" spans="6:13" x14ac:dyDescent="0.35">
      <c r="F52" s="483">
        <v>43164</v>
      </c>
      <c r="G52">
        <f t="shared" si="0"/>
        <v>2018</v>
      </c>
      <c r="H52" t="s">
        <v>951</v>
      </c>
      <c r="I52" t="s">
        <v>881</v>
      </c>
      <c r="J52" t="s">
        <v>26</v>
      </c>
      <c r="K52" t="s">
        <v>882</v>
      </c>
      <c r="L52" t="s">
        <v>2129</v>
      </c>
      <c r="M52">
        <v>7961</v>
      </c>
    </row>
    <row r="53" spans="6:13" x14ac:dyDescent="0.35">
      <c r="F53" s="483">
        <v>43182</v>
      </c>
      <c r="G53">
        <f t="shared" si="0"/>
        <v>2018</v>
      </c>
      <c r="H53" t="s">
        <v>952</v>
      </c>
      <c r="I53" t="s">
        <v>885</v>
      </c>
      <c r="J53" t="s">
        <v>34</v>
      </c>
      <c r="K53" t="s">
        <v>882</v>
      </c>
      <c r="L53" t="s">
        <v>2129</v>
      </c>
      <c r="M53">
        <v>1077</v>
      </c>
    </row>
    <row r="54" spans="6:13" x14ac:dyDescent="0.35">
      <c r="F54" s="483">
        <v>43371</v>
      </c>
      <c r="G54">
        <f t="shared" si="0"/>
        <v>2018</v>
      </c>
      <c r="H54" t="s">
        <v>953</v>
      </c>
      <c r="I54" t="s">
        <v>885</v>
      </c>
      <c r="J54" t="s">
        <v>23</v>
      </c>
      <c r="K54" t="s">
        <v>882</v>
      </c>
      <c r="L54" t="s">
        <v>2132</v>
      </c>
      <c r="M54">
        <v>2983</v>
      </c>
    </row>
    <row r="55" spans="6:13" x14ac:dyDescent="0.35">
      <c r="F55" s="483">
        <v>43107</v>
      </c>
      <c r="G55">
        <f t="shared" si="0"/>
        <v>2018</v>
      </c>
      <c r="H55" t="s">
        <v>954</v>
      </c>
      <c r="I55" t="s">
        <v>881</v>
      </c>
      <c r="J55" t="s">
        <v>34</v>
      </c>
      <c r="K55" t="s">
        <v>2123</v>
      </c>
      <c r="L55" t="s">
        <v>2133</v>
      </c>
      <c r="M55">
        <v>3037</v>
      </c>
    </row>
    <row r="56" spans="6:13" x14ac:dyDescent="0.35">
      <c r="F56" s="483">
        <v>43018</v>
      </c>
      <c r="G56">
        <f t="shared" si="0"/>
        <v>2017</v>
      </c>
      <c r="H56" t="s">
        <v>955</v>
      </c>
      <c r="I56" t="s">
        <v>881</v>
      </c>
      <c r="J56" t="s">
        <v>38</v>
      </c>
      <c r="K56" t="s">
        <v>890</v>
      </c>
      <c r="L56" t="s">
        <v>2133</v>
      </c>
      <c r="M56">
        <v>8726</v>
      </c>
    </row>
    <row r="57" spans="6:13" x14ac:dyDescent="0.35">
      <c r="F57" s="483">
        <v>43417</v>
      </c>
      <c r="G57">
        <f t="shared" si="0"/>
        <v>2018</v>
      </c>
      <c r="H57" t="s">
        <v>956</v>
      </c>
      <c r="I57" t="s">
        <v>957</v>
      </c>
      <c r="J57" t="s">
        <v>30</v>
      </c>
      <c r="K57" t="s">
        <v>890</v>
      </c>
      <c r="L57" t="s">
        <v>2128</v>
      </c>
      <c r="M57">
        <v>2920</v>
      </c>
    </row>
    <row r="58" spans="6:13" x14ac:dyDescent="0.35">
      <c r="F58" s="483">
        <v>43208</v>
      </c>
      <c r="G58">
        <f t="shared" si="0"/>
        <v>2018</v>
      </c>
      <c r="H58" t="s">
        <v>958</v>
      </c>
      <c r="I58" t="s">
        <v>932</v>
      </c>
      <c r="J58" t="s">
        <v>32</v>
      </c>
      <c r="K58" t="s">
        <v>890</v>
      </c>
      <c r="L58" t="s">
        <v>2126</v>
      </c>
      <c r="M58">
        <v>3017</v>
      </c>
    </row>
    <row r="59" spans="6:13" x14ac:dyDescent="0.35">
      <c r="F59" s="483">
        <v>42994</v>
      </c>
      <c r="G59">
        <f t="shared" si="0"/>
        <v>2017</v>
      </c>
      <c r="H59" t="s">
        <v>959</v>
      </c>
      <c r="I59" t="s">
        <v>893</v>
      </c>
      <c r="J59" t="s">
        <v>31</v>
      </c>
      <c r="K59" t="s">
        <v>2123</v>
      </c>
      <c r="L59" t="s">
        <v>2130</v>
      </c>
      <c r="M59">
        <v>5773</v>
      </c>
    </row>
    <row r="60" spans="6:13" x14ac:dyDescent="0.35">
      <c r="F60" s="483">
        <v>42849</v>
      </c>
      <c r="G60">
        <f t="shared" si="0"/>
        <v>2017</v>
      </c>
      <c r="H60" t="s">
        <v>960</v>
      </c>
      <c r="I60" t="s">
        <v>906</v>
      </c>
      <c r="J60" t="s">
        <v>30</v>
      </c>
      <c r="K60" t="s">
        <v>882</v>
      </c>
      <c r="L60" t="s">
        <v>2124</v>
      </c>
      <c r="M60">
        <v>2585</v>
      </c>
    </row>
    <row r="61" spans="6:13" x14ac:dyDescent="0.35">
      <c r="F61" s="483">
        <v>43456</v>
      </c>
      <c r="G61">
        <f t="shared" si="0"/>
        <v>2018</v>
      </c>
      <c r="H61" t="s">
        <v>961</v>
      </c>
      <c r="I61" t="s">
        <v>885</v>
      </c>
      <c r="J61" t="s">
        <v>36</v>
      </c>
      <c r="K61" t="s">
        <v>882</v>
      </c>
      <c r="L61" t="s">
        <v>2132</v>
      </c>
      <c r="M61">
        <v>5110</v>
      </c>
    </row>
    <row r="62" spans="6:13" x14ac:dyDescent="0.35">
      <c r="F62" s="483">
        <v>42925</v>
      </c>
      <c r="G62">
        <f t="shared" si="0"/>
        <v>2017</v>
      </c>
      <c r="H62" t="s">
        <v>962</v>
      </c>
      <c r="I62" t="s">
        <v>881</v>
      </c>
      <c r="J62" t="s">
        <v>38</v>
      </c>
      <c r="K62" t="s">
        <v>2123</v>
      </c>
      <c r="L62" t="s">
        <v>2133</v>
      </c>
      <c r="M62">
        <v>8380</v>
      </c>
    </row>
    <row r="63" spans="6:13" x14ac:dyDescent="0.35">
      <c r="F63" s="483">
        <v>42872</v>
      </c>
      <c r="G63">
        <f t="shared" si="0"/>
        <v>2017</v>
      </c>
      <c r="H63" t="s">
        <v>963</v>
      </c>
      <c r="I63" t="s">
        <v>881</v>
      </c>
      <c r="J63" t="s">
        <v>38</v>
      </c>
      <c r="K63" t="s">
        <v>890</v>
      </c>
      <c r="L63" t="s">
        <v>2128</v>
      </c>
      <c r="M63">
        <v>5141</v>
      </c>
    </row>
    <row r="64" spans="6:13" x14ac:dyDescent="0.35">
      <c r="F64" s="483">
        <v>43438</v>
      </c>
      <c r="G64">
        <f t="shared" si="0"/>
        <v>2018</v>
      </c>
      <c r="H64" t="s">
        <v>964</v>
      </c>
      <c r="I64" t="s">
        <v>957</v>
      </c>
      <c r="J64" t="s">
        <v>24</v>
      </c>
      <c r="K64" t="s">
        <v>890</v>
      </c>
      <c r="L64" t="s">
        <v>2125</v>
      </c>
      <c r="M64">
        <v>5464</v>
      </c>
    </row>
    <row r="65" spans="6:13" x14ac:dyDescent="0.35">
      <c r="F65" s="483">
        <v>43243</v>
      </c>
      <c r="G65">
        <f t="shared" si="0"/>
        <v>2018</v>
      </c>
      <c r="H65" t="s">
        <v>965</v>
      </c>
      <c r="I65" t="s">
        <v>881</v>
      </c>
      <c r="J65" t="s">
        <v>29</v>
      </c>
      <c r="K65" t="s">
        <v>2123</v>
      </c>
      <c r="L65" t="s">
        <v>2125</v>
      </c>
      <c r="M65">
        <v>8027</v>
      </c>
    </row>
    <row r="66" spans="6:13" x14ac:dyDescent="0.35">
      <c r="F66" s="483">
        <v>43297</v>
      </c>
      <c r="G66">
        <f t="shared" si="0"/>
        <v>2018</v>
      </c>
      <c r="H66" t="s">
        <v>966</v>
      </c>
      <c r="I66" t="s">
        <v>967</v>
      </c>
      <c r="J66" t="s">
        <v>38</v>
      </c>
      <c r="K66" t="s">
        <v>2123</v>
      </c>
      <c r="L66" t="s">
        <v>2129</v>
      </c>
      <c r="M66">
        <v>5711</v>
      </c>
    </row>
    <row r="67" spans="6:13" x14ac:dyDescent="0.35">
      <c r="F67" s="483">
        <v>43338</v>
      </c>
      <c r="G67">
        <f t="shared" si="0"/>
        <v>2018</v>
      </c>
      <c r="H67" t="s">
        <v>968</v>
      </c>
      <c r="I67" t="s">
        <v>923</v>
      </c>
      <c r="J67" t="s">
        <v>26</v>
      </c>
      <c r="K67" t="s">
        <v>2123</v>
      </c>
      <c r="L67" t="s">
        <v>2133</v>
      </c>
      <c r="M67">
        <v>6823</v>
      </c>
    </row>
    <row r="68" spans="6:13" x14ac:dyDescent="0.35">
      <c r="F68" s="483">
        <v>42826</v>
      </c>
      <c r="G68">
        <f t="shared" si="0"/>
        <v>2017</v>
      </c>
      <c r="H68" t="s">
        <v>969</v>
      </c>
      <c r="I68" t="s">
        <v>881</v>
      </c>
      <c r="J68" t="s">
        <v>23</v>
      </c>
      <c r="K68" t="s">
        <v>2123</v>
      </c>
      <c r="L68" t="s">
        <v>2128</v>
      </c>
      <c r="M68">
        <v>5752</v>
      </c>
    </row>
    <row r="69" spans="6:13" x14ac:dyDescent="0.35">
      <c r="F69" s="483">
        <v>43234</v>
      </c>
      <c r="G69">
        <f t="shared" si="0"/>
        <v>2018</v>
      </c>
      <c r="H69" t="s">
        <v>970</v>
      </c>
      <c r="I69" t="s">
        <v>957</v>
      </c>
      <c r="J69" t="s">
        <v>26</v>
      </c>
      <c r="K69" t="s">
        <v>890</v>
      </c>
      <c r="L69" t="s">
        <v>2129</v>
      </c>
      <c r="M69">
        <v>2826</v>
      </c>
    </row>
    <row r="70" spans="6:13" x14ac:dyDescent="0.35">
      <c r="F70" s="483">
        <v>43131</v>
      </c>
      <c r="G70">
        <f t="shared" si="0"/>
        <v>2018</v>
      </c>
      <c r="H70" t="s">
        <v>971</v>
      </c>
      <c r="I70" t="s">
        <v>881</v>
      </c>
      <c r="J70" t="s">
        <v>37</v>
      </c>
      <c r="K70" t="s">
        <v>882</v>
      </c>
      <c r="L70" t="s">
        <v>2127</v>
      </c>
      <c r="M70">
        <v>3545</v>
      </c>
    </row>
    <row r="71" spans="6:13" x14ac:dyDescent="0.35">
      <c r="F71" s="483">
        <v>43442</v>
      </c>
      <c r="G71">
        <f t="shared" si="0"/>
        <v>2018</v>
      </c>
      <c r="H71" t="s">
        <v>972</v>
      </c>
      <c r="I71" t="s">
        <v>881</v>
      </c>
      <c r="J71" t="s">
        <v>33</v>
      </c>
      <c r="K71" t="s">
        <v>890</v>
      </c>
      <c r="L71" t="s">
        <v>2130</v>
      </c>
      <c r="M71">
        <v>4060</v>
      </c>
    </row>
    <row r="72" spans="6:13" x14ac:dyDescent="0.35">
      <c r="F72" s="483">
        <v>43047</v>
      </c>
      <c r="G72">
        <f t="shared" si="0"/>
        <v>2017</v>
      </c>
      <c r="H72" t="s">
        <v>973</v>
      </c>
      <c r="I72" t="s">
        <v>881</v>
      </c>
      <c r="J72" t="s">
        <v>23</v>
      </c>
      <c r="K72" t="s">
        <v>882</v>
      </c>
      <c r="L72" t="s">
        <v>2128</v>
      </c>
      <c r="M72">
        <v>6001</v>
      </c>
    </row>
    <row r="73" spans="6:13" x14ac:dyDescent="0.35">
      <c r="F73" s="483">
        <v>42987</v>
      </c>
      <c r="G73">
        <f t="shared" si="0"/>
        <v>2017</v>
      </c>
      <c r="H73" t="s">
        <v>974</v>
      </c>
      <c r="I73" t="s">
        <v>881</v>
      </c>
      <c r="J73" t="s">
        <v>23</v>
      </c>
      <c r="K73" t="s">
        <v>882</v>
      </c>
      <c r="L73" t="s">
        <v>2133</v>
      </c>
      <c r="M73">
        <v>6442</v>
      </c>
    </row>
    <row r="74" spans="6:13" x14ac:dyDescent="0.35">
      <c r="F74" s="483">
        <v>43436</v>
      </c>
      <c r="G74">
        <f t="shared" ref="G74:G137" si="1">YEAR(F74)</f>
        <v>2018</v>
      </c>
      <c r="H74" t="s">
        <v>975</v>
      </c>
      <c r="I74" t="s">
        <v>976</v>
      </c>
      <c r="J74" t="s">
        <v>31</v>
      </c>
      <c r="K74" t="s">
        <v>882</v>
      </c>
      <c r="L74" t="s">
        <v>2127</v>
      </c>
      <c r="M74">
        <v>6190</v>
      </c>
    </row>
    <row r="75" spans="6:13" x14ac:dyDescent="0.35">
      <c r="F75" s="483">
        <v>43013</v>
      </c>
      <c r="G75">
        <f t="shared" si="1"/>
        <v>2017</v>
      </c>
      <c r="H75" t="s">
        <v>977</v>
      </c>
      <c r="I75" t="s">
        <v>881</v>
      </c>
      <c r="J75" t="s">
        <v>28</v>
      </c>
      <c r="K75" t="s">
        <v>2123</v>
      </c>
      <c r="L75" t="s">
        <v>2124</v>
      </c>
      <c r="M75">
        <v>4209</v>
      </c>
    </row>
    <row r="76" spans="6:13" x14ac:dyDescent="0.35">
      <c r="F76" s="483">
        <v>43143</v>
      </c>
      <c r="G76">
        <f t="shared" si="1"/>
        <v>2018</v>
      </c>
      <c r="H76" t="s">
        <v>978</v>
      </c>
      <c r="I76" t="s">
        <v>885</v>
      </c>
      <c r="J76" t="s">
        <v>23</v>
      </c>
      <c r="K76" t="s">
        <v>890</v>
      </c>
      <c r="L76" t="s">
        <v>2128</v>
      </c>
      <c r="M76">
        <v>4204</v>
      </c>
    </row>
    <row r="77" spans="6:13" x14ac:dyDescent="0.35">
      <c r="F77" s="483">
        <v>43296</v>
      </c>
      <c r="G77">
        <f t="shared" si="1"/>
        <v>2018</v>
      </c>
      <c r="H77" t="s">
        <v>979</v>
      </c>
      <c r="I77" t="s">
        <v>885</v>
      </c>
      <c r="J77" t="s">
        <v>35</v>
      </c>
      <c r="K77" t="s">
        <v>882</v>
      </c>
      <c r="L77" t="s">
        <v>2129</v>
      </c>
      <c r="M77">
        <v>1912</v>
      </c>
    </row>
    <row r="78" spans="6:13" x14ac:dyDescent="0.35">
      <c r="F78" s="483">
        <v>43041</v>
      </c>
      <c r="G78">
        <f t="shared" si="1"/>
        <v>2017</v>
      </c>
      <c r="H78" t="s">
        <v>980</v>
      </c>
      <c r="I78" t="s">
        <v>885</v>
      </c>
      <c r="J78" t="s">
        <v>24</v>
      </c>
      <c r="K78" t="s">
        <v>2123</v>
      </c>
      <c r="L78" t="s">
        <v>2131</v>
      </c>
      <c r="M78">
        <v>8508</v>
      </c>
    </row>
    <row r="79" spans="6:13" x14ac:dyDescent="0.35">
      <c r="F79" s="483">
        <v>42845</v>
      </c>
      <c r="G79">
        <f t="shared" si="1"/>
        <v>2017</v>
      </c>
      <c r="H79" t="s">
        <v>981</v>
      </c>
      <c r="I79" t="s">
        <v>982</v>
      </c>
      <c r="J79" t="s">
        <v>29</v>
      </c>
      <c r="K79" t="s">
        <v>890</v>
      </c>
      <c r="L79" t="s">
        <v>2131</v>
      </c>
      <c r="M79">
        <v>3834</v>
      </c>
    </row>
    <row r="80" spans="6:13" x14ac:dyDescent="0.35">
      <c r="F80" s="483">
        <v>43409</v>
      </c>
      <c r="G80">
        <f t="shared" si="1"/>
        <v>2018</v>
      </c>
      <c r="H80" t="s">
        <v>983</v>
      </c>
      <c r="I80" t="s">
        <v>957</v>
      </c>
      <c r="J80" t="s">
        <v>34</v>
      </c>
      <c r="K80" t="s">
        <v>882</v>
      </c>
      <c r="L80" t="s">
        <v>2125</v>
      </c>
      <c r="M80">
        <v>7907</v>
      </c>
    </row>
    <row r="81" spans="6:13" x14ac:dyDescent="0.35">
      <c r="F81" s="483">
        <v>43022</v>
      </c>
      <c r="G81">
        <f t="shared" si="1"/>
        <v>2017</v>
      </c>
      <c r="H81" t="s">
        <v>984</v>
      </c>
      <c r="I81" t="s">
        <v>885</v>
      </c>
      <c r="J81" t="s">
        <v>36</v>
      </c>
      <c r="K81" t="s">
        <v>2123</v>
      </c>
      <c r="L81" t="s">
        <v>2125</v>
      </c>
      <c r="M81">
        <v>3183</v>
      </c>
    </row>
    <row r="82" spans="6:13" x14ac:dyDescent="0.35">
      <c r="F82" s="483">
        <v>43374</v>
      </c>
      <c r="G82">
        <f t="shared" si="1"/>
        <v>2018</v>
      </c>
      <c r="H82" t="s">
        <v>985</v>
      </c>
      <c r="I82" t="s">
        <v>881</v>
      </c>
      <c r="J82" t="s">
        <v>30</v>
      </c>
      <c r="K82" t="s">
        <v>907</v>
      </c>
      <c r="L82" t="s">
        <v>2124</v>
      </c>
      <c r="M82">
        <v>1221</v>
      </c>
    </row>
    <row r="83" spans="6:13" x14ac:dyDescent="0.35">
      <c r="F83" s="483">
        <v>43038</v>
      </c>
      <c r="G83">
        <f t="shared" si="1"/>
        <v>2017</v>
      </c>
      <c r="H83" t="s">
        <v>986</v>
      </c>
      <c r="I83" t="s">
        <v>987</v>
      </c>
      <c r="J83" t="s">
        <v>36</v>
      </c>
      <c r="K83" t="s">
        <v>2123</v>
      </c>
      <c r="L83" t="s">
        <v>2126</v>
      </c>
      <c r="M83">
        <v>4975</v>
      </c>
    </row>
    <row r="84" spans="6:13" x14ac:dyDescent="0.35">
      <c r="F84" s="483">
        <v>43125</v>
      </c>
      <c r="G84">
        <f t="shared" si="1"/>
        <v>2018</v>
      </c>
      <c r="H84" t="s">
        <v>988</v>
      </c>
      <c r="I84" t="s">
        <v>885</v>
      </c>
      <c r="J84" t="s">
        <v>35</v>
      </c>
      <c r="K84" t="s">
        <v>882</v>
      </c>
      <c r="L84" t="s">
        <v>2124</v>
      </c>
      <c r="M84">
        <v>1916</v>
      </c>
    </row>
    <row r="85" spans="6:13" x14ac:dyDescent="0.35">
      <c r="F85" s="483">
        <v>42836</v>
      </c>
      <c r="G85">
        <f t="shared" si="1"/>
        <v>2017</v>
      </c>
      <c r="H85" t="s">
        <v>989</v>
      </c>
      <c r="I85" t="s">
        <v>885</v>
      </c>
      <c r="J85" t="s">
        <v>35</v>
      </c>
      <c r="K85" t="s">
        <v>882</v>
      </c>
      <c r="L85" t="s">
        <v>2124</v>
      </c>
      <c r="M85">
        <v>4386</v>
      </c>
    </row>
    <row r="86" spans="6:13" x14ac:dyDescent="0.35">
      <c r="F86" s="483">
        <v>42757</v>
      </c>
      <c r="G86">
        <f t="shared" si="1"/>
        <v>2017</v>
      </c>
      <c r="H86" t="s">
        <v>990</v>
      </c>
      <c r="I86" t="s">
        <v>991</v>
      </c>
      <c r="J86" t="s">
        <v>31</v>
      </c>
      <c r="K86" t="s">
        <v>2123</v>
      </c>
      <c r="L86" t="s">
        <v>2127</v>
      </c>
      <c r="M86">
        <v>4868</v>
      </c>
    </row>
    <row r="87" spans="6:13" x14ac:dyDescent="0.35">
      <c r="F87" s="483">
        <v>42980</v>
      </c>
      <c r="G87">
        <f t="shared" si="1"/>
        <v>2017</v>
      </c>
      <c r="H87" t="s">
        <v>992</v>
      </c>
      <c r="I87" t="s">
        <v>881</v>
      </c>
      <c r="J87" t="s">
        <v>34</v>
      </c>
      <c r="K87" t="s">
        <v>907</v>
      </c>
      <c r="L87" t="s">
        <v>2133</v>
      </c>
      <c r="M87">
        <v>2819</v>
      </c>
    </row>
    <row r="88" spans="6:13" x14ac:dyDescent="0.35">
      <c r="F88" s="483">
        <v>42814</v>
      </c>
      <c r="G88">
        <f t="shared" si="1"/>
        <v>2017</v>
      </c>
      <c r="H88" t="s">
        <v>993</v>
      </c>
      <c r="I88" t="s">
        <v>885</v>
      </c>
      <c r="J88" t="s">
        <v>24</v>
      </c>
      <c r="K88" t="s">
        <v>890</v>
      </c>
      <c r="L88" t="s">
        <v>2126</v>
      </c>
      <c r="M88">
        <v>5892</v>
      </c>
    </row>
    <row r="89" spans="6:13" x14ac:dyDescent="0.35">
      <c r="F89" s="483">
        <v>43349</v>
      </c>
      <c r="G89">
        <f t="shared" si="1"/>
        <v>2018</v>
      </c>
      <c r="H89" t="s">
        <v>994</v>
      </c>
      <c r="I89" t="s">
        <v>957</v>
      </c>
      <c r="J89" t="s">
        <v>34</v>
      </c>
      <c r="K89" t="s">
        <v>2123</v>
      </c>
      <c r="L89" t="s">
        <v>2133</v>
      </c>
      <c r="M89">
        <v>6173</v>
      </c>
    </row>
    <row r="90" spans="6:13" x14ac:dyDescent="0.35">
      <c r="F90" s="483">
        <v>43420</v>
      </c>
      <c r="G90">
        <f t="shared" si="1"/>
        <v>2018</v>
      </c>
      <c r="H90" t="s">
        <v>995</v>
      </c>
      <c r="I90" t="s">
        <v>881</v>
      </c>
      <c r="J90" t="s">
        <v>31</v>
      </c>
      <c r="K90" t="s">
        <v>907</v>
      </c>
      <c r="L90" t="s">
        <v>2131</v>
      </c>
      <c r="M90">
        <v>4035</v>
      </c>
    </row>
    <row r="91" spans="6:13" x14ac:dyDescent="0.35">
      <c r="F91" s="483">
        <v>43436</v>
      </c>
      <c r="G91">
        <f t="shared" si="1"/>
        <v>2018</v>
      </c>
      <c r="H91" t="s">
        <v>996</v>
      </c>
      <c r="I91" t="s">
        <v>932</v>
      </c>
      <c r="J91" t="s">
        <v>34</v>
      </c>
      <c r="K91" t="s">
        <v>890</v>
      </c>
      <c r="L91" t="s">
        <v>2129</v>
      </c>
      <c r="M91">
        <v>2147</v>
      </c>
    </row>
    <row r="92" spans="6:13" x14ac:dyDescent="0.35">
      <c r="F92" s="483">
        <v>43356</v>
      </c>
      <c r="G92">
        <f t="shared" si="1"/>
        <v>2018</v>
      </c>
      <c r="H92" t="s">
        <v>997</v>
      </c>
      <c r="I92" t="s">
        <v>917</v>
      </c>
      <c r="J92" t="s">
        <v>35</v>
      </c>
      <c r="K92" t="s">
        <v>2123</v>
      </c>
      <c r="L92" t="s">
        <v>2133</v>
      </c>
      <c r="M92">
        <v>1137</v>
      </c>
    </row>
    <row r="93" spans="6:13" x14ac:dyDescent="0.35">
      <c r="F93" s="483">
        <v>43438</v>
      </c>
      <c r="G93">
        <f t="shared" si="1"/>
        <v>2018</v>
      </c>
      <c r="H93" t="s">
        <v>998</v>
      </c>
      <c r="I93" t="s">
        <v>885</v>
      </c>
      <c r="J93" t="s">
        <v>26</v>
      </c>
      <c r="K93" t="s">
        <v>882</v>
      </c>
      <c r="L93" t="s">
        <v>2132</v>
      </c>
      <c r="M93">
        <v>3138</v>
      </c>
    </row>
    <row r="94" spans="6:13" x14ac:dyDescent="0.35">
      <c r="F94" s="483">
        <v>43417</v>
      </c>
      <c r="G94">
        <f t="shared" si="1"/>
        <v>2018</v>
      </c>
      <c r="H94" t="s">
        <v>999</v>
      </c>
      <c r="I94" t="s">
        <v>885</v>
      </c>
      <c r="J94" t="s">
        <v>28</v>
      </c>
      <c r="K94" t="s">
        <v>882</v>
      </c>
      <c r="L94" t="s">
        <v>2130</v>
      </c>
      <c r="M94">
        <v>5140</v>
      </c>
    </row>
    <row r="95" spans="6:13" x14ac:dyDescent="0.35">
      <c r="F95" s="483">
        <v>42901</v>
      </c>
      <c r="G95">
        <f t="shared" si="1"/>
        <v>2017</v>
      </c>
      <c r="H95" t="s">
        <v>1000</v>
      </c>
      <c r="I95" t="s">
        <v>881</v>
      </c>
      <c r="J95" t="s">
        <v>37</v>
      </c>
      <c r="K95" t="s">
        <v>907</v>
      </c>
      <c r="L95" t="s">
        <v>2131</v>
      </c>
      <c r="M95">
        <v>6564</v>
      </c>
    </row>
    <row r="96" spans="6:13" x14ac:dyDescent="0.35">
      <c r="F96" s="483">
        <v>43297</v>
      </c>
      <c r="G96">
        <f t="shared" si="1"/>
        <v>2018</v>
      </c>
      <c r="H96" t="s">
        <v>1001</v>
      </c>
      <c r="I96" t="s">
        <v>885</v>
      </c>
      <c r="J96" t="s">
        <v>26</v>
      </c>
      <c r="K96" t="s">
        <v>907</v>
      </c>
      <c r="L96" t="s">
        <v>2133</v>
      </c>
      <c r="M96">
        <v>8983</v>
      </c>
    </row>
    <row r="97" spans="6:13" x14ac:dyDescent="0.35">
      <c r="F97" s="483">
        <v>43445</v>
      </c>
      <c r="G97">
        <f t="shared" si="1"/>
        <v>2018</v>
      </c>
      <c r="H97" t="s">
        <v>1002</v>
      </c>
      <c r="I97" t="s">
        <v>881</v>
      </c>
      <c r="J97" t="s">
        <v>33</v>
      </c>
      <c r="K97" t="s">
        <v>907</v>
      </c>
      <c r="L97" t="s">
        <v>2124</v>
      </c>
      <c r="M97">
        <v>4710</v>
      </c>
    </row>
    <row r="98" spans="6:13" x14ac:dyDescent="0.35">
      <c r="F98" s="483">
        <v>43221</v>
      </c>
      <c r="G98">
        <f t="shared" si="1"/>
        <v>2018</v>
      </c>
      <c r="H98" t="s">
        <v>1003</v>
      </c>
      <c r="I98" t="s">
        <v>917</v>
      </c>
      <c r="J98" t="s">
        <v>29</v>
      </c>
      <c r="K98" t="s">
        <v>890</v>
      </c>
      <c r="L98" t="s">
        <v>2126</v>
      </c>
      <c r="M98">
        <v>4008</v>
      </c>
    </row>
    <row r="99" spans="6:13" x14ac:dyDescent="0.35">
      <c r="F99" s="483">
        <v>43307</v>
      </c>
      <c r="G99">
        <f t="shared" si="1"/>
        <v>2018</v>
      </c>
      <c r="H99" t="s">
        <v>1004</v>
      </c>
      <c r="I99" t="s">
        <v>895</v>
      </c>
      <c r="J99" t="s">
        <v>33</v>
      </c>
      <c r="K99" t="s">
        <v>2123</v>
      </c>
      <c r="L99" t="s">
        <v>2127</v>
      </c>
      <c r="M99">
        <v>5492</v>
      </c>
    </row>
    <row r="100" spans="6:13" x14ac:dyDescent="0.35">
      <c r="F100" s="483">
        <v>43384</v>
      </c>
      <c r="G100">
        <f t="shared" si="1"/>
        <v>2018</v>
      </c>
      <c r="H100" t="s">
        <v>1005</v>
      </c>
      <c r="I100" t="s">
        <v>881</v>
      </c>
      <c r="J100" t="s">
        <v>29</v>
      </c>
      <c r="K100" t="s">
        <v>2123</v>
      </c>
      <c r="L100" t="s">
        <v>2132</v>
      </c>
      <c r="M100">
        <v>5047</v>
      </c>
    </row>
    <row r="101" spans="6:13" x14ac:dyDescent="0.35">
      <c r="F101" s="483">
        <v>42938</v>
      </c>
      <c r="G101">
        <f t="shared" si="1"/>
        <v>2017</v>
      </c>
      <c r="H101" t="s">
        <v>1006</v>
      </c>
      <c r="I101" t="s">
        <v>925</v>
      </c>
      <c r="J101" t="s">
        <v>31</v>
      </c>
      <c r="K101" t="s">
        <v>882</v>
      </c>
      <c r="L101" t="s">
        <v>2129</v>
      </c>
      <c r="M101">
        <v>7802</v>
      </c>
    </row>
    <row r="102" spans="6:13" x14ac:dyDescent="0.35">
      <c r="F102" s="483">
        <v>42856</v>
      </c>
      <c r="G102">
        <f t="shared" si="1"/>
        <v>2017</v>
      </c>
      <c r="H102" t="s">
        <v>1007</v>
      </c>
      <c r="I102" t="s">
        <v>885</v>
      </c>
      <c r="J102" t="s">
        <v>31</v>
      </c>
      <c r="K102" t="s">
        <v>2123</v>
      </c>
      <c r="L102" t="s">
        <v>2131</v>
      </c>
      <c r="M102">
        <v>3129</v>
      </c>
    </row>
    <row r="103" spans="6:13" x14ac:dyDescent="0.35">
      <c r="F103" s="483">
        <v>42893</v>
      </c>
      <c r="G103">
        <f t="shared" si="1"/>
        <v>2017</v>
      </c>
      <c r="H103" t="s">
        <v>1008</v>
      </c>
      <c r="I103" t="s">
        <v>881</v>
      </c>
      <c r="J103" t="s">
        <v>36</v>
      </c>
      <c r="K103" t="s">
        <v>2123</v>
      </c>
      <c r="L103" t="s">
        <v>2128</v>
      </c>
      <c r="M103">
        <v>1287</v>
      </c>
    </row>
    <row r="104" spans="6:13" x14ac:dyDescent="0.35">
      <c r="F104" s="483">
        <v>42837</v>
      </c>
      <c r="G104">
        <f t="shared" si="1"/>
        <v>2017</v>
      </c>
      <c r="H104" t="s">
        <v>1009</v>
      </c>
      <c r="I104" t="s">
        <v>885</v>
      </c>
      <c r="J104" t="s">
        <v>24</v>
      </c>
      <c r="K104" t="s">
        <v>890</v>
      </c>
      <c r="L104" t="s">
        <v>2130</v>
      </c>
      <c r="M104">
        <v>5373</v>
      </c>
    </row>
    <row r="105" spans="6:13" x14ac:dyDescent="0.35">
      <c r="F105" s="483">
        <v>43292</v>
      </c>
      <c r="G105">
        <f t="shared" si="1"/>
        <v>2018</v>
      </c>
      <c r="H105" t="s">
        <v>1010</v>
      </c>
      <c r="I105" t="s">
        <v>885</v>
      </c>
      <c r="J105" t="s">
        <v>37</v>
      </c>
      <c r="K105" t="s">
        <v>2123</v>
      </c>
      <c r="L105" t="s">
        <v>2133</v>
      </c>
      <c r="M105">
        <v>8218</v>
      </c>
    </row>
    <row r="106" spans="6:13" x14ac:dyDescent="0.35">
      <c r="F106" s="483">
        <v>42783</v>
      </c>
      <c r="G106">
        <f t="shared" si="1"/>
        <v>2017</v>
      </c>
      <c r="H106" t="s">
        <v>1011</v>
      </c>
      <c r="I106" t="s">
        <v>881</v>
      </c>
      <c r="J106" t="s">
        <v>36</v>
      </c>
      <c r="K106" t="s">
        <v>2123</v>
      </c>
      <c r="L106" t="s">
        <v>2124</v>
      </c>
      <c r="M106">
        <v>6808</v>
      </c>
    </row>
    <row r="107" spans="6:13" x14ac:dyDescent="0.35">
      <c r="F107" s="483">
        <v>42749</v>
      </c>
      <c r="G107">
        <f t="shared" si="1"/>
        <v>2017</v>
      </c>
      <c r="H107" t="s">
        <v>1012</v>
      </c>
      <c r="I107" t="s">
        <v>881</v>
      </c>
      <c r="J107" t="s">
        <v>29</v>
      </c>
      <c r="K107" t="s">
        <v>882</v>
      </c>
      <c r="L107" t="s">
        <v>2132</v>
      </c>
      <c r="M107">
        <v>7399</v>
      </c>
    </row>
    <row r="108" spans="6:13" x14ac:dyDescent="0.35">
      <c r="F108" s="483">
        <v>43311</v>
      </c>
      <c r="G108">
        <f t="shared" si="1"/>
        <v>2018</v>
      </c>
      <c r="H108" t="s">
        <v>1013</v>
      </c>
      <c r="I108" t="s">
        <v>881</v>
      </c>
      <c r="J108" t="s">
        <v>32</v>
      </c>
      <c r="K108" t="s">
        <v>882</v>
      </c>
      <c r="L108" t="s">
        <v>2129</v>
      </c>
      <c r="M108">
        <v>3771</v>
      </c>
    </row>
    <row r="109" spans="6:13" x14ac:dyDescent="0.35">
      <c r="F109" s="483">
        <v>43056</v>
      </c>
      <c r="G109">
        <f t="shared" si="1"/>
        <v>2017</v>
      </c>
      <c r="H109" t="s">
        <v>1014</v>
      </c>
      <c r="I109" t="s">
        <v>885</v>
      </c>
      <c r="J109" t="s">
        <v>26</v>
      </c>
      <c r="K109" t="s">
        <v>882</v>
      </c>
      <c r="L109" t="s">
        <v>2131</v>
      </c>
      <c r="M109">
        <v>7546</v>
      </c>
    </row>
    <row r="110" spans="6:13" x14ac:dyDescent="0.35">
      <c r="F110" s="483">
        <v>43189</v>
      </c>
      <c r="G110">
        <f t="shared" si="1"/>
        <v>2018</v>
      </c>
      <c r="H110" t="s">
        <v>1015</v>
      </c>
      <c r="I110" t="s">
        <v>1016</v>
      </c>
      <c r="J110" t="s">
        <v>29</v>
      </c>
      <c r="K110" t="s">
        <v>2123</v>
      </c>
      <c r="L110" t="s">
        <v>2126</v>
      </c>
      <c r="M110">
        <v>8429</v>
      </c>
    </row>
    <row r="111" spans="6:13" x14ac:dyDescent="0.35">
      <c r="F111" s="483">
        <v>43008</v>
      </c>
      <c r="G111">
        <f t="shared" si="1"/>
        <v>2017</v>
      </c>
      <c r="H111" t="s">
        <v>1017</v>
      </c>
      <c r="I111" t="s">
        <v>1018</v>
      </c>
      <c r="J111" t="s">
        <v>36</v>
      </c>
      <c r="K111" t="s">
        <v>882</v>
      </c>
      <c r="L111" t="s">
        <v>2128</v>
      </c>
      <c r="M111">
        <v>4610</v>
      </c>
    </row>
    <row r="112" spans="6:13" x14ac:dyDescent="0.35">
      <c r="F112" s="483">
        <v>43234</v>
      </c>
      <c r="G112">
        <f t="shared" si="1"/>
        <v>2018</v>
      </c>
      <c r="H112" t="s">
        <v>1019</v>
      </c>
      <c r="I112" t="s">
        <v>885</v>
      </c>
      <c r="J112" t="s">
        <v>33</v>
      </c>
      <c r="K112" t="s">
        <v>890</v>
      </c>
      <c r="L112" t="s">
        <v>2133</v>
      </c>
      <c r="M112">
        <v>7770</v>
      </c>
    </row>
    <row r="113" spans="6:13" x14ac:dyDescent="0.35">
      <c r="F113" s="483">
        <v>42878</v>
      </c>
      <c r="G113">
        <f t="shared" si="1"/>
        <v>2017</v>
      </c>
      <c r="H113" t="s">
        <v>1020</v>
      </c>
      <c r="I113" t="s">
        <v>881</v>
      </c>
      <c r="J113" t="s">
        <v>24</v>
      </c>
      <c r="K113" t="s">
        <v>882</v>
      </c>
      <c r="L113" t="s">
        <v>2129</v>
      </c>
      <c r="M113">
        <v>6564</v>
      </c>
    </row>
    <row r="114" spans="6:13" x14ac:dyDescent="0.35">
      <c r="F114" s="483">
        <v>43035</v>
      </c>
      <c r="G114">
        <f t="shared" si="1"/>
        <v>2017</v>
      </c>
      <c r="H114" t="s">
        <v>1021</v>
      </c>
      <c r="I114" t="s">
        <v>1022</v>
      </c>
      <c r="J114" t="s">
        <v>28</v>
      </c>
      <c r="K114" t="s">
        <v>882</v>
      </c>
      <c r="L114" t="s">
        <v>2124</v>
      </c>
      <c r="M114">
        <v>1139</v>
      </c>
    </row>
    <row r="115" spans="6:13" x14ac:dyDescent="0.35">
      <c r="F115" s="483">
        <v>43119</v>
      </c>
      <c r="G115">
        <f t="shared" si="1"/>
        <v>2018</v>
      </c>
      <c r="H115" t="s">
        <v>1023</v>
      </c>
      <c r="I115" t="s">
        <v>881</v>
      </c>
      <c r="J115" t="s">
        <v>35</v>
      </c>
      <c r="K115" t="s">
        <v>2123</v>
      </c>
      <c r="L115" t="s">
        <v>2129</v>
      </c>
      <c r="M115">
        <v>1211</v>
      </c>
    </row>
    <row r="116" spans="6:13" x14ac:dyDescent="0.35">
      <c r="F116" s="483">
        <v>42819</v>
      </c>
      <c r="G116">
        <f t="shared" si="1"/>
        <v>2017</v>
      </c>
      <c r="H116" t="s">
        <v>1024</v>
      </c>
      <c r="I116" t="s">
        <v>885</v>
      </c>
      <c r="J116" t="s">
        <v>30</v>
      </c>
      <c r="K116" t="s">
        <v>2123</v>
      </c>
      <c r="L116" t="s">
        <v>2133</v>
      </c>
      <c r="M116">
        <v>3951</v>
      </c>
    </row>
    <row r="117" spans="6:13" x14ac:dyDescent="0.35">
      <c r="F117" s="483">
        <v>43288</v>
      </c>
      <c r="G117">
        <f t="shared" si="1"/>
        <v>2018</v>
      </c>
      <c r="H117" t="s">
        <v>1025</v>
      </c>
      <c r="I117" t="s">
        <v>957</v>
      </c>
      <c r="J117" t="s">
        <v>37</v>
      </c>
      <c r="K117" t="s">
        <v>882</v>
      </c>
      <c r="L117" t="s">
        <v>2128</v>
      </c>
      <c r="M117">
        <v>8076</v>
      </c>
    </row>
    <row r="118" spans="6:13" x14ac:dyDescent="0.35">
      <c r="F118" s="483">
        <v>42895</v>
      </c>
      <c r="G118">
        <f t="shared" si="1"/>
        <v>2017</v>
      </c>
      <c r="H118" t="s">
        <v>1026</v>
      </c>
      <c r="I118" t="s">
        <v>881</v>
      </c>
      <c r="J118" t="s">
        <v>33</v>
      </c>
      <c r="K118" t="s">
        <v>882</v>
      </c>
      <c r="L118" t="s">
        <v>2128</v>
      </c>
      <c r="M118">
        <v>3901</v>
      </c>
    </row>
    <row r="119" spans="6:13" x14ac:dyDescent="0.35">
      <c r="F119" s="483">
        <v>43414</v>
      </c>
      <c r="G119">
        <f t="shared" si="1"/>
        <v>2018</v>
      </c>
      <c r="H119" t="s">
        <v>1027</v>
      </c>
      <c r="I119" t="s">
        <v>1028</v>
      </c>
      <c r="J119" t="s">
        <v>31</v>
      </c>
      <c r="K119" t="s">
        <v>2123</v>
      </c>
      <c r="L119" t="s">
        <v>2133</v>
      </c>
      <c r="M119">
        <v>6694</v>
      </c>
    </row>
    <row r="120" spans="6:13" x14ac:dyDescent="0.35">
      <c r="F120" s="483">
        <v>43121</v>
      </c>
      <c r="G120">
        <f t="shared" si="1"/>
        <v>2018</v>
      </c>
      <c r="H120" t="s">
        <v>1029</v>
      </c>
      <c r="I120" t="s">
        <v>885</v>
      </c>
      <c r="J120" t="s">
        <v>38</v>
      </c>
      <c r="K120" t="s">
        <v>2123</v>
      </c>
      <c r="L120" t="s">
        <v>2128</v>
      </c>
      <c r="M120">
        <v>6643</v>
      </c>
    </row>
    <row r="121" spans="6:13" x14ac:dyDescent="0.35">
      <c r="F121" s="483">
        <v>42821</v>
      </c>
      <c r="G121">
        <f t="shared" si="1"/>
        <v>2017</v>
      </c>
      <c r="H121" t="s">
        <v>1030</v>
      </c>
      <c r="I121" t="s">
        <v>881</v>
      </c>
      <c r="J121" t="s">
        <v>23</v>
      </c>
      <c r="K121" t="s">
        <v>907</v>
      </c>
      <c r="L121" t="s">
        <v>2127</v>
      </c>
      <c r="M121">
        <v>2434</v>
      </c>
    </row>
    <row r="122" spans="6:13" x14ac:dyDescent="0.35">
      <c r="F122" s="483">
        <v>43355</v>
      </c>
      <c r="G122">
        <f t="shared" si="1"/>
        <v>2018</v>
      </c>
      <c r="H122" t="s">
        <v>1031</v>
      </c>
      <c r="I122" t="s">
        <v>906</v>
      </c>
      <c r="J122" t="s">
        <v>29</v>
      </c>
      <c r="K122" t="s">
        <v>890</v>
      </c>
      <c r="L122" t="s">
        <v>2130</v>
      </c>
      <c r="M122">
        <v>1038</v>
      </c>
    </row>
    <row r="123" spans="6:13" x14ac:dyDescent="0.35">
      <c r="F123" s="483">
        <v>43282</v>
      </c>
      <c r="G123">
        <f t="shared" si="1"/>
        <v>2018</v>
      </c>
      <c r="H123" t="s">
        <v>1032</v>
      </c>
      <c r="I123" t="s">
        <v>881</v>
      </c>
      <c r="J123" t="s">
        <v>28</v>
      </c>
      <c r="K123" t="s">
        <v>882</v>
      </c>
      <c r="L123" t="s">
        <v>2126</v>
      </c>
      <c r="M123">
        <v>4317</v>
      </c>
    </row>
    <row r="124" spans="6:13" x14ac:dyDescent="0.35">
      <c r="F124" s="483">
        <v>42914</v>
      </c>
      <c r="G124">
        <f t="shared" si="1"/>
        <v>2017</v>
      </c>
      <c r="H124" t="s">
        <v>1033</v>
      </c>
      <c r="I124" t="s">
        <v>885</v>
      </c>
      <c r="J124" t="s">
        <v>32</v>
      </c>
      <c r="K124" t="s">
        <v>882</v>
      </c>
      <c r="L124" t="s">
        <v>2131</v>
      </c>
      <c r="M124">
        <v>2735</v>
      </c>
    </row>
    <row r="125" spans="6:13" x14ac:dyDescent="0.35">
      <c r="F125" s="483">
        <v>43280</v>
      </c>
      <c r="G125">
        <f t="shared" si="1"/>
        <v>2018</v>
      </c>
      <c r="H125" t="s">
        <v>1034</v>
      </c>
      <c r="I125" t="s">
        <v>881</v>
      </c>
      <c r="J125" t="s">
        <v>34</v>
      </c>
      <c r="K125" t="s">
        <v>907</v>
      </c>
      <c r="L125" t="s">
        <v>2130</v>
      </c>
      <c r="M125">
        <v>5764</v>
      </c>
    </row>
    <row r="126" spans="6:13" x14ac:dyDescent="0.35">
      <c r="F126" s="483">
        <v>43111</v>
      </c>
      <c r="G126">
        <f t="shared" si="1"/>
        <v>2018</v>
      </c>
      <c r="H126" t="s">
        <v>1035</v>
      </c>
      <c r="I126" t="s">
        <v>939</v>
      </c>
      <c r="J126" t="s">
        <v>26</v>
      </c>
      <c r="K126" t="s">
        <v>890</v>
      </c>
      <c r="L126" t="s">
        <v>2131</v>
      </c>
      <c r="M126">
        <v>1909</v>
      </c>
    </row>
    <row r="127" spans="6:13" x14ac:dyDescent="0.35">
      <c r="F127" s="483">
        <v>43180</v>
      </c>
      <c r="G127">
        <f t="shared" si="1"/>
        <v>2018</v>
      </c>
      <c r="H127" t="s">
        <v>1036</v>
      </c>
      <c r="I127" t="s">
        <v>885</v>
      </c>
      <c r="J127" t="s">
        <v>32</v>
      </c>
      <c r="K127" t="s">
        <v>2123</v>
      </c>
      <c r="L127" t="s">
        <v>2131</v>
      </c>
      <c r="M127">
        <v>1455</v>
      </c>
    </row>
    <row r="128" spans="6:13" x14ac:dyDescent="0.35">
      <c r="F128" s="483">
        <v>43444</v>
      </c>
      <c r="G128">
        <f t="shared" si="1"/>
        <v>2018</v>
      </c>
      <c r="H128" t="s">
        <v>1037</v>
      </c>
      <c r="I128" t="s">
        <v>957</v>
      </c>
      <c r="J128" t="s">
        <v>32</v>
      </c>
      <c r="K128" t="s">
        <v>890</v>
      </c>
      <c r="L128" t="s">
        <v>2124</v>
      </c>
      <c r="M128">
        <v>2049</v>
      </c>
    </row>
    <row r="129" spans="6:13" x14ac:dyDescent="0.35">
      <c r="F129" s="483">
        <v>42737</v>
      </c>
      <c r="G129">
        <f t="shared" si="1"/>
        <v>2017</v>
      </c>
      <c r="H129" t="s">
        <v>1038</v>
      </c>
      <c r="I129" t="s">
        <v>957</v>
      </c>
      <c r="J129" t="s">
        <v>26</v>
      </c>
      <c r="K129" t="s">
        <v>2123</v>
      </c>
      <c r="L129" t="s">
        <v>2129</v>
      </c>
      <c r="M129">
        <v>3652</v>
      </c>
    </row>
    <row r="130" spans="6:13" x14ac:dyDescent="0.35">
      <c r="F130" s="483">
        <v>43259</v>
      </c>
      <c r="G130">
        <f t="shared" si="1"/>
        <v>2018</v>
      </c>
      <c r="H130" t="s">
        <v>1039</v>
      </c>
      <c r="I130" t="s">
        <v>881</v>
      </c>
      <c r="J130" t="s">
        <v>30</v>
      </c>
      <c r="K130" t="s">
        <v>907</v>
      </c>
      <c r="L130" t="s">
        <v>2127</v>
      </c>
      <c r="M130">
        <v>8746</v>
      </c>
    </row>
    <row r="131" spans="6:13" x14ac:dyDescent="0.35">
      <c r="F131" s="483">
        <v>42774</v>
      </c>
      <c r="G131">
        <f t="shared" si="1"/>
        <v>2017</v>
      </c>
      <c r="H131" t="s">
        <v>1040</v>
      </c>
      <c r="I131" t="s">
        <v>881</v>
      </c>
      <c r="J131" t="s">
        <v>31</v>
      </c>
      <c r="K131" t="s">
        <v>882</v>
      </c>
      <c r="L131" t="s">
        <v>2131</v>
      </c>
      <c r="M131">
        <v>4471</v>
      </c>
    </row>
    <row r="132" spans="6:13" x14ac:dyDescent="0.35">
      <c r="F132" s="483">
        <v>43095</v>
      </c>
      <c r="G132">
        <f t="shared" si="1"/>
        <v>2017</v>
      </c>
      <c r="H132" t="s">
        <v>1041</v>
      </c>
      <c r="I132" t="s">
        <v>881</v>
      </c>
      <c r="J132" t="s">
        <v>24</v>
      </c>
      <c r="K132" t="s">
        <v>907</v>
      </c>
      <c r="L132" t="s">
        <v>2128</v>
      </c>
      <c r="M132">
        <v>5004</v>
      </c>
    </row>
    <row r="133" spans="6:13" x14ac:dyDescent="0.35">
      <c r="F133" s="483">
        <v>42968</v>
      </c>
      <c r="G133">
        <f t="shared" si="1"/>
        <v>2017</v>
      </c>
      <c r="H133" t="s">
        <v>1042</v>
      </c>
      <c r="I133" t="s">
        <v>881</v>
      </c>
      <c r="J133" t="s">
        <v>30</v>
      </c>
      <c r="K133" t="s">
        <v>882</v>
      </c>
      <c r="L133" t="s">
        <v>2133</v>
      </c>
      <c r="M133">
        <v>3679</v>
      </c>
    </row>
    <row r="134" spans="6:13" x14ac:dyDescent="0.35">
      <c r="F134" s="483">
        <v>42920</v>
      </c>
      <c r="G134">
        <f t="shared" si="1"/>
        <v>2017</v>
      </c>
      <c r="H134" t="s">
        <v>1043</v>
      </c>
      <c r="I134" t="s">
        <v>881</v>
      </c>
      <c r="J134" t="s">
        <v>24</v>
      </c>
      <c r="K134" t="s">
        <v>2123</v>
      </c>
      <c r="L134" t="s">
        <v>2131</v>
      </c>
      <c r="M134">
        <v>2614</v>
      </c>
    </row>
    <row r="135" spans="6:13" x14ac:dyDescent="0.35">
      <c r="F135" s="483">
        <v>42786</v>
      </c>
      <c r="G135">
        <f t="shared" si="1"/>
        <v>2017</v>
      </c>
      <c r="H135" t="s">
        <v>1044</v>
      </c>
      <c r="I135" t="s">
        <v>881</v>
      </c>
      <c r="J135" t="s">
        <v>28</v>
      </c>
      <c r="K135" t="s">
        <v>882</v>
      </c>
      <c r="L135" t="s">
        <v>2133</v>
      </c>
      <c r="M135">
        <v>8831</v>
      </c>
    </row>
    <row r="136" spans="6:13" x14ac:dyDescent="0.35">
      <c r="F136" s="483">
        <v>43124</v>
      </c>
      <c r="G136">
        <f t="shared" si="1"/>
        <v>2018</v>
      </c>
      <c r="H136" t="s">
        <v>1045</v>
      </c>
      <c r="I136" t="s">
        <v>881</v>
      </c>
      <c r="J136" t="s">
        <v>23</v>
      </c>
      <c r="K136" t="s">
        <v>890</v>
      </c>
      <c r="L136" t="s">
        <v>2130</v>
      </c>
      <c r="M136">
        <v>2769</v>
      </c>
    </row>
    <row r="137" spans="6:13" x14ac:dyDescent="0.35">
      <c r="F137" s="483">
        <v>43032</v>
      </c>
      <c r="G137">
        <f t="shared" si="1"/>
        <v>2017</v>
      </c>
      <c r="H137" t="s">
        <v>1046</v>
      </c>
      <c r="I137" t="s">
        <v>881</v>
      </c>
      <c r="J137" t="s">
        <v>28</v>
      </c>
      <c r="K137" t="s">
        <v>907</v>
      </c>
      <c r="L137" t="s">
        <v>2124</v>
      </c>
      <c r="M137">
        <v>3260</v>
      </c>
    </row>
    <row r="138" spans="6:13" x14ac:dyDescent="0.35">
      <c r="F138" s="483">
        <v>43066</v>
      </c>
      <c r="G138">
        <f t="shared" ref="G138:G201" si="2">YEAR(F138)</f>
        <v>2017</v>
      </c>
      <c r="H138" t="s">
        <v>1047</v>
      </c>
      <c r="I138" t="s">
        <v>881</v>
      </c>
      <c r="J138" t="s">
        <v>23</v>
      </c>
      <c r="K138" t="s">
        <v>882</v>
      </c>
      <c r="L138" t="s">
        <v>2133</v>
      </c>
      <c r="M138">
        <v>8543</v>
      </c>
    </row>
    <row r="139" spans="6:13" x14ac:dyDescent="0.35">
      <c r="F139" s="483">
        <v>42804</v>
      </c>
      <c r="G139">
        <f t="shared" si="2"/>
        <v>2017</v>
      </c>
      <c r="H139" t="s">
        <v>1048</v>
      </c>
      <c r="I139" t="s">
        <v>881</v>
      </c>
      <c r="J139" t="s">
        <v>29</v>
      </c>
      <c r="K139" t="s">
        <v>907</v>
      </c>
      <c r="L139" t="s">
        <v>2126</v>
      </c>
      <c r="M139">
        <v>8338</v>
      </c>
    </row>
    <row r="140" spans="6:13" x14ac:dyDescent="0.35">
      <c r="F140" s="483">
        <v>42976</v>
      </c>
      <c r="G140">
        <f t="shared" si="2"/>
        <v>2017</v>
      </c>
      <c r="H140" t="s">
        <v>1049</v>
      </c>
      <c r="I140" t="s">
        <v>881</v>
      </c>
      <c r="J140" t="s">
        <v>24</v>
      </c>
      <c r="K140" t="s">
        <v>2123</v>
      </c>
      <c r="L140" t="s">
        <v>2125</v>
      </c>
      <c r="M140">
        <v>6313</v>
      </c>
    </row>
    <row r="141" spans="6:13" x14ac:dyDescent="0.35">
      <c r="F141" s="483">
        <v>42909</v>
      </c>
      <c r="G141">
        <f t="shared" si="2"/>
        <v>2017</v>
      </c>
      <c r="H141" t="s">
        <v>1050</v>
      </c>
      <c r="I141" t="s">
        <v>881</v>
      </c>
      <c r="J141" t="s">
        <v>29</v>
      </c>
      <c r="K141" t="s">
        <v>2123</v>
      </c>
      <c r="L141" t="s">
        <v>2125</v>
      </c>
      <c r="M141">
        <v>1043</v>
      </c>
    </row>
    <row r="142" spans="6:13" x14ac:dyDescent="0.35">
      <c r="F142" s="483">
        <v>43431</v>
      </c>
      <c r="G142">
        <f t="shared" si="2"/>
        <v>2018</v>
      </c>
      <c r="H142" t="s">
        <v>1051</v>
      </c>
      <c r="I142" t="s">
        <v>881</v>
      </c>
      <c r="J142" t="s">
        <v>36</v>
      </c>
      <c r="K142" t="s">
        <v>882</v>
      </c>
      <c r="L142" t="s">
        <v>2132</v>
      </c>
      <c r="M142">
        <v>5853</v>
      </c>
    </row>
    <row r="143" spans="6:13" x14ac:dyDescent="0.35">
      <c r="F143" s="483">
        <v>42854</v>
      </c>
      <c r="G143">
        <f t="shared" si="2"/>
        <v>2017</v>
      </c>
      <c r="H143" t="s">
        <v>1052</v>
      </c>
      <c r="I143" t="s">
        <v>881</v>
      </c>
      <c r="J143" t="s">
        <v>34</v>
      </c>
      <c r="K143" t="s">
        <v>890</v>
      </c>
      <c r="L143" t="s">
        <v>2128</v>
      </c>
      <c r="M143">
        <v>3669</v>
      </c>
    </row>
    <row r="144" spans="6:13" x14ac:dyDescent="0.35">
      <c r="F144" s="483">
        <v>43365</v>
      </c>
      <c r="G144">
        <f t="shared" si="2"/>
        <v>2018</v>
      </c>
      <c r="H144" t="s">
        <v>1053</v>
      </c>
      <c r="I144" t="s">
        <v>881</v>
      </c>
      <c r="J144" t="s">
        <v>33</v>
      </c>
      <c r="K144" t="s">
        <v>2123</v>
      </c>
      <c r="L144" t="s">
        <v>2125</v>
      </c>
      <c r="M144">
        <v>2769</v>
      </c>
    </row>
    <row r="145" spans="6:13" x14ac:dyDescent="0.35">
      <c r="F145" s="483">
        <v>43176</v>
      </c>
      <c r="G145">
        <f t="shared" si="2"/>
        <v>2018</v>
      </c>
      <c r="H145" t="s">
        <v>1054</v>
      </c>
      <c r="I145" t="s">
        <v>881</v>
      </c>
      <c r="J145" t="s">
        <v>24</v>
      </c>
      <c r="K145" t="s">
        <v>2123</v>
      </c>
      <c r="L145" t="s">
        <v>2124</v>
      </c>
      <c r="M145">
        <v>2191</v>
      </c>
    </row>
    <row r="146" spans="6:13" x14ac:dyDescent="0.35">
      <c r="F146" s="483">
        <v>43079</v>
      </c>
      <c r="G146">
        <f t="shared" si="2"/>
        <v>2017</v>
      </c>
      <c r="H146" t="s">
        <v>1055</v>
      </c>
      <c r="I146" t="s">
        <v>881</v>
      </c>
      <c r="J146" t="s">
        <v>23</v>
      </c>
      <c r="K146" t="s">
        <v>882</v>
      </c>
      <c r="L146" t="s">
        <v>2128</v>
      </c>
      <c r="M146">
        <v>2235</v>
      </c>
    </row>
    <row r="147" spans="6:13" x14ac:dyDescent="0.35">
      <c r="F147" s="483">
        <v>43144</v>
      </c>
      <c r="G147">
        <f t="shared" si="2"/>
        <v>2018</v>
      </c>
      <c r="H147" t="s">
        <v>1056</v>
      </c>
      <c r="I147" t="s">
        <v>881</v>
      </c>
      <c r="J147" t="s">
        <v>33</v>
      </c>
      <c r="K147" t="s">
        <v>2123</v>
      </c>
      <c r="L147" t="s">
        <v>2133</v>
      </c>
      <c r="M147">
        <v>7413</v>
      </c>
    </row>
    <row r="148" spans="6:13" x14ac:dyDescent="0.35">
      <c r="F148" s="483">
        <v>43052</v>
      </c>
      <c r="G148">
        <f t="shared" si="2"/>
        <v>2017</v>
      </c>
      <c r="H148" t="s">
        <v>1057</v>
      </c>
      <c r="I148" t="s">
        <v>881</v>
      </c>
      <c r="J148" t="s">
        <v>29</v>
      </c>
      <c r="K148" t="s">
        <v>882</v>
      </c>
      <c r="L148" t="s">
        <v>2129</v>
      </c>
      <c r="M148">
        <v>3886</v>
      </c>
    </row>
    <row r="149" spans="6:13" x14ac:dyDescent="0.35">
      <c r="F149" s="483">
        <v>42965</v>
      </c>
      <c r="G149">
        <f t="shared" si="2"/>
        <v>2017</v>
      </c>
      <c r="H149" t="s">
        <v>1058</v>
      </c>
      <c r="I149" t="s">
        <v>881</v>
      </c>
      <c r="J149" t="s">
        <v>38</v>
      </c>
      <c r="K149" t="s">
        <v>907</v>
      </c>
      <c r="L149" t="s">
        <v>2125</v>
      </c>
      <c r="M149">
        <v>2178</v>
      </c>
    </row>
    <row r="150" spans="6:13" x14ac:dyDescent="0.35">
      <c r="F150" s="483">
        <v>43201</v>
      </c>
      <c r="G150">
        <f t="shared" si="2"/>
        <v>2018</v>
      </c>
      <c r="H150" t="s">
        <v>1059</v>
      </c>
      <c r="I150" t="s">
        <v>881</v>
      </c>
      <c r="J150" t="s">
        <v>26</v>
      </c>
      <c r="K150" t="s">
        <v>882</v>
      </c>
      <c r="L150" t="s">
        <v>2126</v>
      </c>
      <c r="M150">
        <v>3533</v>
      </c>
    </row>
    <row r="151" spans="6:13" x14ac:dyDescent="0.35">
      <c r="F151" s="483">
        <v>43014</v>
      </c>
      <c r="G151">
        <f t="shared" si="2"/>
        <v>2017</v>
      </c>
      <c r="H151" t="s">
        <v>1060</v>
      </c>
      <c r="I151" t="s">
        <v>881</v>
      </c>
      <c r="J151" t="s">
        <v>38</v>
      </c>
      <c r="K151" t="s">
        <v>890</v>
      </c>
      <c r="L151" t="s">
        <v>2124</v>
      </c>
      <c r="M151">
        <v>7464</v>
      </c>
    </row>
    <row r="152" spans="6:13" x14ac:dyDescent="0.35">
      <c r="F152" s="483">
        <v>43180</v>
      </c>
      <c r="G152">
        <f t="shared" si="2"/>
        <v>2018</v>
      </c>
      <c r="H152" t="s">
        <v>1061</v>
      </c>
      <c r="I152" t="s">
        <v>881</v>
      </c>
      <c r="J152" t="s">
        <v>24</v>
      </c>
      <c r="K152" t="s">
        <v>890</v>
      </c>
      <c r="L152" t="s">
        <v>2127</v>
      </c>
      <c r="M152">
        <v>3395</v>
      </c>
    </row>
    <row r="153" spans="6:13" x14ac:dyDescent="0.35">
      <c r="F153" s="483">
        <v>42860</v>
      </c>
      <c r="G153">
        <f t="shared" si="2"/>
        <v>2017</v>
      </c>
      <c r="H153" t="s">
        <v>1062</v>
      </c>
      <c r="I153" t="s">
        <v>881</v>
      </c>
      <c r="J153" t="s">
        <v>24</v>
      </c>
      <c r="K153" t="s">
        <v>2123</v>
      </c>
      <c r="L153" t="s">
        <v>2127</v>
      </c>
      <c r="M153">
        <v>3796</v>
      </c>
    </row>
    <row r="154" spans="6:13" x14ac:dyDescent="0.35">
      <c r="F154" s="483">
        <v>43450</v>
      </c>
      <c r="G154">
        <f t="shared" si="2"/>
        <v>2018</v>
      </c>
      <c r="H154" t="s">
        <v>1063</v>
      </c>
      <c r="I154" t="s">
        <v>881</v>
      </c>
      <c r="J154" t="s">
        <v>28</v>
      </c>
      <c r="K154" t="s">
        <v>907</v>
      </c>
      <c r="L154" t="s">
        <v>2125</v>
      </c>
      <c r="M154">
        <v>4933</v>
      </c>
    </row>
    <row r="155" spans="6:13" x14ac:dyDescent="0.35">
      <c r="F155" s="483">
        <v>43055</v>
      </c>
      <c r="G155">
        <f t="shared" si="2"/>
        <v>2017</v>
      </c>
      <c r="H155" t="s">
        <v>1064</v>
      </c>
      <c r="I155" t="s">
        <v>881</v>
      </c>
      <c r="J155" t="s">
        <v>33</v>
      </c>
      <c r="K155" t="s">
        <v>907</v>
      </c>
      <c r="L155" t="s">
        <v>2124</v>
      </c>
      <c r="M155">
        <v>1682</v>
      </c>
    </row>
    <row r="156" spans="6:13" x14ac:dyDescent="0.35">
      <c r="F156" s="483">
        <v>43418</v>
      </c>
      <c r="G156">
        <f t="shared" si="2"/>
        <v>2018</v>
      </c>
      <c r="H156" t="s">
        <v>1065</v>
      </c>
      <c r="I156" t="s">
        <v>881</v>
      </c>
      <c r="J156" t="s">
        <v>32</v>
      </c>
      <c r="K156" t="s">
        <v>882</v>
      </c>
      <c r="L156" t="s">
        <v>2129</v>
      </c>
      <c r="M156">
        <v>3917</v>
      </c>
    </row>
    <row r="157" spans="6:13" x14ac:dyDescent="0.35">
      <c r="F157" s="483">
        <v>42816</v>
      </c>
      <c r="G157">
        <f t="shared" si="2"/>
        <v>2017</v>
      </c>
      <c r="H157" t="s">
        <v>1066</v>
      </c>
      <c r="I157" t="s">
        <v>881</v>
      </c>
      <c r="J157" t="s">
        <v>35</v>
      </c>
      <c r="K157" t="s">
        <v>2123</v>
      </c>
      <c r="L157" t="s">
        <v>2129</v>
      </c>
      <c r="M157">
        <v>8051</v>
      </c>
    </row>
    <row r="158" spans="6:13" x14ac:dyDescent="0.35">
      <c r="F158" s="483">
        <v>42920</v>
      </c>
      <c r="G158">
        <f t="shared" si="2"/>
        <v>2017</v>
      </c>
      <c r="H158" t="s">
        <v>1067</v>
      </c>
      <c r="I158" t="s">
        <v>881</v>
      </c>
      <c r="J158" t="s">
        <v>33</v>
      </c>
      <c r="K158" t="s">
        <v>2123</v>
      </c>
      <c r="L158" t="s">
        <v>2129</v>
      </c>
      <c r="M158">
        <v>2621</v>
      </c>
    </row>
    <row r="159" spans="6:13" x14ac:dyDescent="0.35">
      <c r="F159" s="483">
        <v>43405</v>
      </c>
      <c r="G159">
        <f t="shared" si="2"/>
        <v>2018</v>
      </c>
      <c r="H159" t="s">
        <v>1068</v>
      </c>
      <c r="I159" t="s">
        <v>881</v>
      </c>
      <c r="J159" t="s">
        <v>34</v>
      </c>
      <c r="K159" t="s">
        <v>2123</v>
      </c>
      <c r="L159" t="s">
        <v>2133</v>
      </c>
      <c r="M159">
        <v>2641</v>
      </c>
    </row>
    <row r="160" spans="6:13" x14ac:dyDescent="0.35">
      <c r="F160" s="483">
        <v>43177</v>
      </c>
      <c r="G160">
        <f t="shared" si="2"/>
        <v>2018</v>
      </c>
      <c r="H160" t="s">
        <v>1069</v>
      </c>
      <c r="I160" t="s">
        <v>881</v>
      </c>
      <c r="J160" t="s">
        <v>30</v>
      </c>
      <c r="K160" t="s">
        <v>2123</v>
      </c>
      <c r="L160" t="s">
        <v>2129</v>
      </c>
      <c r="M160">
        <v>4486</v>
      </c>
    </row>
    <row r="161" spans="6:13" x14ac:dyDescent="0.35">
      <c r="F161" s="483">
        <v>43030</v>
      </c>
      <c r="G161">
        <f t="shared" si="2"/>
        <v>2017</v>
      </c>
      <c r="H161" t="s">
        <v>1070</v>
      </c>
      <c r="I161" t="s">
        <v>881</v>
      </c>
      <c r="J161" t="s">
        <v>23</v>
      </c>
      <c r="K161" t="s">
        <v>2123</v>
      </c>
      <c r="L161" t="s">
        <v>2124</v>
      </c>
      <c r="M161">
        <v>3038</v>
      </c>
    </row>
    <row r="162" spans="6:13" x14ac:dyDescent="0.35">
      <c r="F162" s="483">
        <v>42997</v>
      </c>
      <c r="G162">
        <f t="shared" si="2"/>
        <v>2017</v>
      </c>
      <c r="H162" t="s">
        <v>1071</v>
      </c>
      <c r="I162" t="s">
        <v>881</v>
      </c>
      <c r="J162" t="s">
        <v>36</v>
      </c>
      <c r="K162" t="s">
        <v>907</v>
      </c>
      <c r="L162" t="s">
        <v>2125</v>
      </c>
      <c r="M162">
        <v>5820</v>
      </c>
    </row>
    <row r="163" spans="6:13" x14ac:dyDescent="0.35">
      <c r="F163" s="483">
        <v>43123</v>
      </c>
      <c r="G163">
        <f t="shared" si="2"/>
        <v>2018</v>
      </c>
      <c r="H163" t="s">
        <v>1072</v>
      </c>
      <c r="I163" t="s">
        <v>881</v>
      </c>
      <c r="J163" t="s">
        <v>36</v>
      </c>
      <c r="K163" t="s">
        <v>907</v>
      </c>
      <c r="L163" t="s">
        <v>2131</v>
      </c>
      <c r="M163">
        <v>8910</v>
      </c>
    </row>
    <row r="164" spans="6:13" x14ac:dyDescent="0.35">
      <c r="F164" s="483">
        <v>42758</v>
      </c>
      <c r="G164">
        <f t="shared" si="2"/>
        <v>2017</v>
      </c>
      <c r="H164" t="s">
        <v>1073</v>
      </c>
      <c r="I164" t="s">
        <v>881</v>
      </c>
      <c r="J164" t="s">
        <v>30</v>
      </c>
      <c r="K164" t="s">
        <v>882</v>
      </c>
      <c r="L164" t="s">
        <v>2130</v>
      </c>
      <c r="M164">
        <v>2087</v>
      </c>
    </row>
    <row r="165" spans="6:13" x14ac:dyDescent="0.35">
      <c r="F165" s="483">
        <v>42964</v>
      </c>
      <c r="G165">
        <f t="shared" si="2"/>
        <v>2017</v>
      </c>
      <c r="H165" t="s">
        <v>1074</v>
      </c>
      <c r="I165" t="s">
        <v>881</v>
      </c>
      <c r="J165" t="s">
        <v>36</v>
      </c>
      <c r="K165" t="s">
        <v>882</v>
      </c>
      <c r="L165" t="s">
        <v>2132</v>
      </c>
      <c r="M165">
        <v>2189</v>
      </c>
    </row>
    <row r="166" spans="6:13" x14ac:dyDescent="0.35">
      <c r="F166" s="483">
        <v>42880</v>
      </c>
      <c r="G166">
        <f t="shared" si="2"/>
        <v>2017</v>
      </c>
      <c r="H166" t="s">
        <v>1075</v>
      </c>
      <c r="I166" t="s">
        <v>881</v>
      </c>
      <c r="J166" t="s">
        <v>36</v>
      </c>
      <c r="K166" t="s">
        <v>890</v>
      </c>
      <c r="L166" t="s">
        <v>2129</v>
      </c>
      <c r="M166">
        <v>1844</v>
      </c>
    </row>
    <row r="167" spans="6:13" x14ac:dyDescent="0.35">
      <c r="F167" s="483">
        <v>43341</v>
      </c>
      <c r="G167">
        <f t="shared" si="2"/>
        <v>2018</v>
      </c>
      <c r="H167" t="s">
        <v>1076</v>
      </c>
      <c r="I167" t="s">
        <v>881</v>
      </c>
      <c r="J167" t="s">
        <v>29</v>
      </c>
      <c r="K167" t="s">
        <v>907</v>
      </c>
      <c r="L167" t="s">
        <v>2125</v>
      </c>
      <c r="M167">
        <v>2558</v>
      </c>
    </row>
    <row r="168" spans="6:13" x14ac:dyDescent="0.35">
      <c r="F168" s="483">
        <v>42781</v>
      </c>
      <c r="G168">
        <f t="shared" si="2"/>
        <v>2017</v>
      </c>
      <c r="H168" t="s">
        <v>1077</v>
      </c>
      <c r="I168" t="s">
        <v>881</v>
      </c>
      <c r="J168" t="s">
        <v>35</v>
      </c>
      <c r="K168" t="s">
        <v>2123</v>
      </c>
      <c r="L168" t="s">
        <v>2127</v>
      </c>
      <c r="M168">
        <v>3470</v>
      </c>
    </row>
    <row r="169" spans="6:13" x14ac:dyDescent="0.35">
      <c r="F169" s="483">
        <v>42820</v>
      </c>
      <c r="G169">
        <f t="shared" si="2"/>
        <v>2017</v>
      </c>
      <c r="H169" t="s">
        <v>1078</v>
      </c>
      <c r="I169" t="s">
        <v>881</v>
      </c>
      <c r="J169" t="s">
        <v>32</v>
      </c>
      <c r="K169" t="s">
        <v>907</v>
      </c>
      <c r="L169" t="s">
        <v>2129</v>
      </c>
      <c r="M169">
        <v>5354</v>
      </c>
    </row>
    <row r="170" spans="6:13" x14ac:dyDescent="0.35">
      <c r="F170" s="483">
        <v>43012</v>
      </c>
      <c r="G170">
        <f t="shared" si="2"/>
        <v>2017</v>
      </c>
      <c r="H170" t="s">
        <v>1079</v>
      </c>
      <c r="I170" t="s">
        <v>881</v>
      </c>
      <c r="J170" t="s">
        <v>38</v>
      </c>
      <c r="K170" t="s">
        <v>907</v>
      </c>
      <c r="L170" t="s">
        <v>2127</v>
      </c>
      <c r="M170">
        <v>7884</v>
      </c>
    </row>
    <row r="171" spans="6:13" x14ac:dyDescent="0.35">
      <c r="F171" s="483">
        <v>42818</v>
      </c>
      <c r="G171">
        <f t="shared" si="2"/>
        <v>2017</v>
      </c>
      <c r="H171" t="s">
        <v>1080</v>
      </c>
      <c r="I171" t="s">
        <v>881</v>
      </c>
      <c r="J171" t="s">
        <v>23</v>
      </c>
      <c r="K171" t="s">
        <v>882</v>
      </c>
      <c r="L171" t="s">
        <v>2133</v>
      </c>
      <c r="M171">
        <v>7012</v>
      </c>
    </row>
    <row r="172" spans="6:13" x14ac:dyDescent="0.35">
      <c r="F172" s="483">
        <v>43381</v>
      </c>
      <c r="G172">
        <f t="shared" si="2"/>
        <v>2018</v>
      </c>
      <c r="H172" t="s">
        <v>1081</v>
      </c>
      <c r="I172" t="s">
        <v>881</v>
      </c>
      <c r="J172" t="s">
        <v>31</v>
      </c>
      <c r="K172" t="s">
        <v>882</v>
      </c>
      <c r="L172" t="s">
        <v>2130</v>
      </c>
      <c r="M172">
        <v>5186</v>
      </c>
    </row>
    <row r="173" spans="6:13" x14ac:dyDescent="0.35">
      <c r="F173" s="483">
        <v>42910</v>
      </c>
      <c r="G173">
        <f t="shared" si="2"/>
        <v>2017</v>
      </c>
      <c r="H173" t="s">
        <v>1082</v>
      </c>
      <c r="I173" t="s">
        <v>881</v>
      </c>
      <c r="J173" t="s">
        <v>37</v>
      </c>
      <c r="K173" t="s">
        <v>907</v>
      </c>
      <c r="L173" t="s">
        <v>2124</v>
      </c>
      <c r="M173">
        <v>6969</v>
      </c>
    </row>
    <row r="174" spans="6:13" x14ac:dyDescent="0.35">
      <c r="F174" s="483">
        <v>42889</v>
      </c>
      <c r="G174">
        <f t="shared" si="2"/>
        <v>2017</v>
      </c>
      <c r="H174" t="s">
        <v>1083</v>
      </c>
      <c r="I174" t="s">
        <v>881</v>
      </c>
      <c r="J174" t="s">
        <v>36</v>
      </c>
      <c r="K174" t="s">
        <v>882</v>
      </c>
      <c r="L174" t="s">
        <v>2127</v>
      </c>
      <c r="M174">
        <v>6319</v>
      </c>
    </row>
    <row r="175" spans="6:13" x14ac:dyDescent="0.35">
      <c r="F175" s="483">
        <v>42771</v>
      </c>
      <c r="G175">
        <f t="shared" si="2"/>
        <v>2017</v>
      </c>
      <c r="H175" t="s">
        <v>1084</v>
      </c>
      <c r="I175" t="s">
        <v>881</v>
      </c>
      <c r="J175" t="s">
        <v>29</v>
      </c>
      <c r="K175" t="s">
        <v>2123</v>
      </c>
      <c r="L175" t="s">
        <v>2126</v>
      </c>
      <c r="M175">
        <v>1623</v>
      </c>
    </row>
    <row r="176" spans="6:13" x14ac:dyDescent="0.35">
      <c r="F176" s="483">
        <v>43185</v>
      </c>
      <c r="G176">
        <f t="shared" si="2"/>
        <v>2018</v>
      </c>
      <c r="H176" t="s">
        <v>1085</v>
      </c>
      <c r="I176" t="s">
        <v>881</v>
      </c>
      <c r="J176" t="s">
        <v>30</v>
      </c>
      <c r="K176" t="s">
        <v>907</v>
      </c>
      <c r="L176" t="s">
        <v>2124</v>
      </c>
      <c r="M176">
        <v>1970</v>
      </c>
    </row>
    <row r="177" spans="6:13" x14ac:dyDescent="0.35">
      <c r="F177" s="483">
        <v>42811</v>
      </c>
      <c r="G177">
        <f t="shared" si="2"/>
        <v>2017</v>
      </c>
      <c r="H177" t="s">
        <v>1086</v>
      </c>
      <c r="I177" t="s">
        <v>881</v>
      </c>
      <c r="J177" t="s">
        <v>23</v>
      </c>
      <c r="K177" t="s">
        <v>2123</v>
      </c>
      <c r="L177" t="s">
        <v>2128</v>
      </c>
      <c r="M177">
        <v>1184</v>
      </c>
    </row>
    <row r="178" spans="6:13" x14ac:dyDescent="0.35">
      <c r="F178" s="483">
        <v>43082</v>
      </c>
      <c r="G178">
        <f t="shared" si="2"/>
        <v>2017</v>
      </c>
      <c r="H178" t="s">
        <v>1087</v>
      </c>
      <c r="I178" t="s">
        <v>881</v>
      </c>
      <c r="J178" t="s">
        <v>26</v>
      </c>
      <c r="K178" t="s">
        <v>890</v>
      </c>
      <c r="L178" t="s">
        <v>2128</v>
      </c>
      <c r="M178">
        <v>6899</v>
      </c>
    </row>
    <row r="179" spans="6:13" x14ac:dyDescent="0.35">
      <c r="F179" s="483">
        <v>43188</v>
      </c>
      <c r="G179">
        <f t="shared" si="2"/>
        <v>2018</v>
      </c>
      <c r="H179" t="s">
        <v>1088</v>
      </c>
      <c r="I179" t="s">
        <v>881</v>
      </c>
      <c r="J179" t="s">
        <v>37</v>
      </c>
      <c r="K179" t="s">
        <v>907</v>
      </c>
      <c r="L179" t="s">
        <v>2133</v>
      </c>
      <c r="M179">
        <v>6980</v>
      </c>
    </row>
    <row r="180" spans="6:13" x14ac:dyDescent="0.35">
      <c r="F180" s="483">
        <v>43223</v>
      </c>
      <c r="G180">
        <f t="shared" si="2"/>
        <v>2018</v>
      </c>
      <c r="H180" t="s">
        <v>1089</v>
      </c>
      <c r="I180" t="s">
        <v>881</v>
      </c>
      <c r="J180" t="s">
        <v>28</v>
      </c>
      <c r="K180" t="s">
        <v>882</v>
      </c>
      <c r="L180" t="s">
        <v>2133</v>
      </c>
      <c r="M180">
        <v>6206</v>
      </c>
    </row>
    <row r="181" spans="6:13" x14ac:dyDescent="0.35">
      <c r="F181" s="483">
        <v>43237</v>
      </c>
      <c r="G181">
        <f t="shared" si="2"/>
        <v>2018</v>
      </c>
      <c r="H181" t="s">
        <v>1090</v>
      </c>
      <c r="I181" t="s">
        <v>881</v>
      </c>
      <c r="J181" t="s">
        <v>23</v>
      </c>
      <c r="K181" t="s">
        <v>882</v>
      </c>
      <c r="L181" t="s">
        <v>2131</v>
      </c>
      <c r="M181">
        <v>7011</v>
      </c>
    </row>
    <row r="182" spans="6:13" x14ac:dyDescent="0.35">
      <c r="F182" s="483">
        <v>42782</v>
      </c>
      <c r="G182">
        <f t="shared" si="2"/>
        <v>2017</v>
      </c>
      <c r="H182" t="s">
        <v>1091</v>
      </c>
      <c r="I182" t="s">
        <v>881</v>
      </c>
      <c r="J182" t="s">
        <v>35</v>
      </c>
      <c r="K182" t="s">
        <v>907</v>
      </c>
      <c r="L182" t="s">
        <v>2125</v>
      </c>
      <c r="M182">
        <v>4986</v>
      </c>
    </row>
    <row r="183" spans="6:13" x14ac:dyDescent="0.35">
      <c r="F183" s="483">
        <v>43454</v>
      </c>
      <c r="G183">
        <f t="shared" si="2"/>
        <v>2018</v>
      </c>
      <c r="H183" t="s">
        <v>1092</v>
      </c>
      <c r="I183" t="s">
        <v>881</v>
      </c>
      <c r="J183" t="s">
        <v>28</v>
      </c>
      <c r="K183" t="s">
        <v>890</v>
      </c>
      <c r="L183" t="s">
        <v>2132</v>
      </c>
      <c r="M183">
        <v>4296</v>
      </c>
    </row>
    <row r="184" spans="6:13" x14ac:dyDescent="0.35">
      <c r="F184" s="483">
        <v>43077</v>
      </c>
      <c r="G184">
        <f t="shared" si="2"/>
        <v>2017</v>
      </c>
      <c r="H184" t="s">
        <v>1093</v>
      </c>
      <c r="I184" t="s">
        <v>881</v>
      </c>
      <c r="J184" t="s">
        <v>26</v>
      </c>
      <c r="K184" t="s">
        <v>882</v>
      </c>
      <c r="L184" t="s">
        <v>2131</v>
      </c>
      <c r="M184">
        <v>1936</v>
      </c>
    </row>
    <row r="185" spans="6:13" x14ac:dyDescent="0.35">
      <c r="F185" s="483">
        <v>43092</v>
      </c>
      <c r="G185">
        <f t="shared" si="2"/>
        <v>2017</v>
      </c>
      <c r="H185" t="s">
        <v>1094</v>
      </c>
      <c r="I185" t="s">
        <v>881</v>
      </c>
      <c r="J185" t="s">
        <v>23</v>
      </c>
      <c r="K185" t="s">
        <v>882</v>
      </c>
      <c r="L185" t="s">
        <v>2130</v>
      </c>
      <c r="M185">
        <v>6586</v>
      </c>
    </row>
    <row r="186" spans="6:13" x14ac:dyDescent="0.35">
      <c r="F186" s="483">
        <v>42782</v>
      </c>
      <c r="G186">
        <f t="shared" si="2"/>
        <v>2017</v>
      </c>
      <c r="H186" t="s">
        <v>1095</v>
      </c>
      <c r="I186" t="s">
        <v>881</v>
      </c>
      <c r="J186" t="s">
        <v>35</v>
      </c>
      <c r="K186" t="s">
        <v>2123</v>
      </c>
      <c r="L186" t="s">
        <v>2126</v>
      </c>
      <c r="M186">
        <v>1815</v>
      </c>
    </row>
    <row r="187" spans="6:13" x14ac:dyDescent="0.35">
      <c r="F187" s="483">
        <v>43202</v>
      </c>
      <c r="G187">
        <f t="shared" si="2"/>
        <v>2018</v>
      </c>
      <c r="H187" t="s">
        <v>1096</v>
      </c>
      <c r="I187" t="s">
        <v>881</v>
      </c>
      <c r="J187" t="s">
        <v>29</v>
      </c>
      <c r="K187" t="s">
        <v>890</v>
      </c>
      <c r="L187" t="s">
        <v>2126</v>
      </c>
      <c r="M187">
        <v>4614</v>
      </c>
    </row>
    <row r="188" spans="6:13" x14ac:dyDescent="0.35">
      <c r="F188" s="483">
        <v>42782</v>
      </c>
      <c r="G188">
        <f t="shared" si="2"/>
        <v>2017</v>
      </c>
      <c r="H188" t="s">
        <v>1097</v>
      </c>
      <c r="I188" t="s">
        <v>881</v>
      </c>
      <c r="J188" t="s">
        <v>29</v>
      </c>
      <c r="K188" t="s">
        <v>2123</v>
      </c>
      <c r="L188" t="s">
        <v>2126</v>
      </c>
      <c r="M188">
        <v>7973</v>
      </c>
    </row>
    <row r="189" spans="6:13" x14ac:dyDescent="0.35">
      <c r="F189" s="483">
        <v>43065</v>
      </c>
      <c r="G189">
        <f t="shared" si="2"/>
        <v>2017</v>
      </c>
      <c r="H189" t="s">
        <v>1098</v>
      </c>
      <c r="I189" t="s">
        <v>881</v>
      </c>
      <c r="J189" t="s">
        <v>31</v>
      </c>
      <c r="K189" t="s">
        <v>890</v>
      </c>
      <c r="L189" t="s">
        <v>2124</v>
      </c>
      <c r="M189">
        <v>2970</v>
      </c>
    </row>
    <row r="190" spans="6:13" x14ac:dyDescent="0.35">
      <c r="F190" s="483">
        <v>43272</v>
      </c>
      <c r="G190">
        <f t="shared" si="2"/>
        <v>2018</v>
      </c>
      <c r="H190" t="s">
        <v>1099</v>
      </c>
      <c r="I190" t="s">
        <v>881</v>
      </c>
      <c r="J190" t="s">
        <v>30</v>
      </c>
      <c r="K190" t="s">
        <v>882</v>
      </c>
      <c r="L190" t="s">
        <v>2125</v>
      </c>
      <c r="M190">
        <v>8860</v>
      </c>
    </row>
    <row r="191" spans="6:13" x14ac:dyDescent="0.35">
      <c r="F191" s="483">
        <v>42896</v>
      </c>
      <c r="G191">
        <f t="shared" si="2"/>
        <v>2017</v>
      </c>
      <c r="H191" t="s">
        <v>1100</v>
      </c>
      <c r="I191" t="s">
        <v>881</v>
      </c>
      <c r="J191" t="s">
        <v>32</v>
      </c>
      <c r="K191" t="s">
        <v>2123</v>
      </c>
      <c r="L191" t="s">
        <v>2126</v>
      </c>
      <c r="M191">
        <v>3195</v>
      </c>
    </row>
    <row r="192" spans="6:13" x14ac:dyDescent="0.35">
      <c r="F192" s="483">
        <v>42827</v>
      </c>
      <c r="G192">
        <f t="shared" si="2"/>
        <v>2017</v>
      </c>
      <c r="H192" t="s">
        <v>1101</v>
      </c>
      <c r="I192" t="s">
        <v>881</v>
      </c>
      <c r="J192" t="s">
        <v>29</v>
      </c>
      <c r="K192" t="s">
        <v>890</v>
      </c>
      <c r="L192" t="s">
        <v>2128</v>
      </c>
      <c r="M192">
        <v>3561</v>
      </c>
    </row>
    <row r="193" spans="6:13" x14ac:dyDescent="0.35">
      <c r="F193" s="483">
        <v>42957</v>
      </c>
      <c r="G193">
        <f t="shared" si="2"/>
        <v>2017</v>
      </c>
      <c r="H193" t="s">
        <v>1102</v>
      </c>
      <c r="I193" t="s">
        <v>881</v>
      </c>
      <c r="J193" t="s">
        <v>24</v>
      </c>
      <c r="K193" t="s">
        <v>2123</v>
      </c>
      <c r="L193" t="s">
        <v>2128</v>
      </c>
      <c r="M193">
        <v>8930</v>
      </c>
    </row>
    <row r="194" spans="6:13" x14ac:dyDescent="0.35">
      <c r="F194" s="483">
        <v>42743</v>
      </c>
      <c r="G194">
        <f t="shared" si="2"/>
        <v>2017</v>
      </c>
      <c r="H194" t="s">
        <v>1103</v>
      </c>
      <c r="I194" t="s">
        <v>881</v>
      </c>
      <c r="J194" t="s">
        <v>34</v>
      </c>
      <c r="K194" t="s">
        <v>2123</v>
      </c>
      <c r="L194" t="s">
        <v>2127</v>
      </c>
      <c r="M194">
        <v>6254</v>
      </c>
    </row>
    <row r="195" spans="6:13" x14ac:dyDescent="0.35">
      <c r="F195" s="483">
        <v>43255</v>
      </c>
      <c r="G195">
        <f t="shared" si="2"/>
        <v>2018</v>
      </c>
      <c r="H195" t="s">
        <v>1104</v>
      </c>
      <c r="I195" t="s">
        <v>881</v>
      </c>
      <c r="J195" t="s">
        <v>29</v>
      </c>
      <c r="K195" t="s">
        <v>907</v>
      </c>
      <c r="L195" t="s">
        <v>2130</v>
      </c>
      <c r="M195">
        <v>3230</v>
      </c>
    </row>
    <row r="196" spans="6:13" x14ac:dyDescent="0.35">
      <c r="F196" s="483">
        <v>42865</v>
      </c>
      <c r="G196">
        <f t="shared" si="2"/>
        <v>2017</v>
      </c>
      <c r="H196" t="s">
        <v>1105</v>
      </c>
      <c r="I196" t="s">
        <v>881</v>
      </c>
      <c r="J196" t="s">
        <v>31</v>
      </c>
      <c r="K196" t="s">
        <v>882</v>
      </c>
      <c r="L196" t="s">
        <v>2132</v>
      </c>
      <c r="M196">
        <v>1488</v>
      </c>
    </row>
    <row r="197" spans="6:13" x14ac:dyDescent="0.35">
      <c r="F197" s="483">
        <v>43131</v>
      </c>
      <c r="G197">
        <f t="shared" si="2"/>
        <v>2018</v>
      </c>
      <c r="H197" t="s">
        <v>1106</v>
      </c>
      <c r="I197" t="s">
        <v>881</v>
      </c>
      <c r="J197" t="s">
        <v>26</v>
      </c>
      <c r="K197" t="s">
        <v>890</v>
      </c>
      <c r="L197" t="s">
        <v>2132</v>
      </c>
      <c r="M197">
        <v>5254</v>
      </c>
    </row>
    <row r="198" spans="6:13" x14ac:dyDescent="0.35">
      <c r="F198" s="483">
        <v>43352</v>
      </c>
      <c r="G198">
        <f t="shared" si="2"/>
        <v>2018</v>
      </c>
      <c r="H198" t="s">
        <v>1107</v>
      </c>
      <c r="I198" t="s">
        <v>881</v>
      </c>
      <c r="J198" t="s">
        <v>28</v>
      </c>
      <c r="K198" t="s">
        <v>2123</v>
      </c>
      <c r="L198" t="s">
        <v>2126</v>
      </c>
      <c r="M198">
        <v>1648</v>
      </c>
    </row>
    <row r="199" spans="6:13" x14ac:dyDescent="0.35">
      <c r="F199" s="483">
        <v>43270</v>
      </c>
      <c r="G199">
        <f t="shared" si="2"/>
        <v>2018</v>
      </c>
      <c r="H199" t="s">
        <v>1108</v>
      </c>
      <c r="I199" t="s">
        <v>881</v>
      </c>
      <c r="J199" t="s">
        <v>24</v>
      </c>
      <c r="K199" t="s">
        <v>2123</v>
      </c>
      <c r="L199" t="s">
        <v>2132</v>
      </c>
      <c r="M199">
        <v>4915</v>
      </c>
    </row>
    <row r="200" spans="6:13" x14ac:dyDescent="0.35">
      <c r="F200" s="483">
        <v>43134</v>
      </c>
      <c r="G200">
        <f t="shared" si="2"/>
        <v>2018</v>
      </c>
      <c r="H200" t="s">
        <v>1109</v>
      </c>
      <c r="I200" t="s">
        <v>881</v>
      </c>
      <c r="J200" t="s">
        <v>26</v>
      </c>
      <c r="K200" t="s">
        <v>890</v>
      </c>
      <c r="L200" t="s">
        <v>2128</v>
      </c>
      <c r="M200">
        <v>2271</v>
      </c>
    </row>
    <row r="201" spans="6:13" x14ac:dyDescent="0.35">
      <c r="F201" s="483">
        <v>43022</v>
      </c>
      <c r="G201">
        <f t="shared" si="2"/>
        <v>2017</v>
      </c>
      <c r="H201" t="s">
        <v>1110</v>
      </c>
      <c r="I201" t="s">
        <v>881</v>
      </c>
      <c r="J201" t="s">
        <v>26</v>
      </c>
      <c r="K201" t="s">
        <v>2123</v>
      </c>
      <c r="L201" t="s">
        <v>2132</v>
      </c>
      <c r="M201">
        <v>2977</v>
      </c>
    </row>
    <row r="202" spans="6:13" x14ac:dyDescent="0.35">
      <c r="F202" s="483">
        <v>42940</v>
      </c>
      <c r="G202">
        <f t="shared" ref="G202:G265" si="3">YEAR(F202)</f>
        <v>2017</v>
      </c>
      <c r="H202" t="s">
        <v>1111</v>
      </c>
      <c r="I202" t="s">
        <v>925</v>
      </c>
      <c r="J202" t="s">
        <v>28</v>
      </c>
      <c r="K202" t="s">
        <v>882</v>
      </c>
      <c r="L202" t="s">
        <v>2126</v>
      </c>
      <c r="M202">
        <v>6685</v>
      </c>
    </row>
    <row r="203" spans="6:13" x14ac:dyDescent="0.35">
      <c r="F203" s="483">
        <v>43137</v>
      </c>
      <c r="G203">
        <f t="shared" si="3"/>
        <v>2018</v>
      </c>
      <c r="H203" t="s">
        <v>1112</v>
      </c>
      <c r="I203" t="s">
        <v>885</v>
      </c>
      <c r="J203" t="s">
        <v>32</v>
      </c>
      <c r="K203" t="s">
        <v>2123</v>
      </c>
      <c r="L203" t="s">
        <v>2129</v>
      </c>
      <c r="M203">
        <v>1146</v>
      </c>
    </row>
    <row r="204" spans="6:13" x14ac:dyDescent="0.35">
      <c r="F204" s="483">
        <v>43006</v>
      </c>
      <c r="G204">
        <f t="shared" si="3"/>
        <v>2017</v>
      </c>
      <c r="H204" t="s">
        <v>1113</v>
      </c>
      <c r="I204" t="s">
        <v>885</v>
      </c>
      <c r="J204" t="s">
        <v>34</v>
      </c>
      <c r="K204" t="s">
        <v>2123</v>
      </c>
      <c r="L204" t="s">
        <v>2133</v>
      </c>
      <c r="M204">
        <v>4871</v>
      </c>
    </row>
    <row r="205" spans="6:13" x14ac:dyDescent="0.35">
      <c r="F205" s="483">
        <v>43442</v>
      </c>
      <c r="G205">
        <f t="shared" si="3"/>
        <v>2018</v>
      </c>
      <c r="H205" t="s">
        <v>1114</v>
      </c>
      <c r="I205" t="s">
        <v>885</v>
      </c>
      <c r="J205" t="s">
        <v>28</v>
      </c>
      <c r="K205" t="s">
        <v>907</v>
      </c>
      <c r="L205" t="s">
        <v>2126</v>
      </c>
      <c r="M205">
        <v>6006</v>
      </c>
    </row>
    <row r="206" spans="6:13" x14ac:dyDescent="0.35">
      <c r="F206" s="483">
        <v>43141</v>
      </c>
      <c r="G206">
        <f t="shared" si="3"/>
        <v>2018</v>
      </c>
      <c r="H206" t="s">
        <v>1115</v>
      </c>
      <c r="I206" t="s">
        <v>885</v>
      </c>
      <c r="J206" t="s">
        <v>34</v>
      </c>
      <c r="K206" t="s">
        <v>907</v>
      </c>
      <c r="L206" t="s">
        <v>2132</v>
      </c>
      <c r="M206">
        <v>3471</v>
      </c>
    </row>
    <row r="207" spans="6:13" x14ac:dyDescent="0.35">
      <c r="F207" s="483">
        <v>42869</v>
      </c>
      <c r="G207">
        <f t="shared" si="3"/>
        <v>2017</v>
      </c>
      <c r="H207" t="s">
        <v>1116</v>
      </c>
      <c r="I207" t="s">
        <v>932</v>
      </c>
      <c r="J207" t="s">
        <v>33</v>
      </c>
      <c r="K207" t="s">
        <v>890</v>
      </c>
      <c r="L207" t="s">
        <v>2132</v>
      </c>
      <c r="M207">
        <v>3064</v>
      </c>
    </row>
    <row r="208" spans="6:13" x14ac:dyDescent="0.35">
      <c r="F208" s="483">
        <v>42757</v>
      </c>
      <c r="G208">
        <f t="shared" si="3"/>
        <v>2017</v>
      </c>
      <c r="H208" t="s">
        <v>1117</v>
      </c>
      <c r="I208" t="s">
        <v>1022</v>
      </c>
      <c r="J208" t="s">
        <v>38</v>
      </c>
      <c r="K208" t="s">
        <v>882</v>
      </c>
      <c r="L208" t="s">
        <v>2127</v>
      </c>
      <c r="M208">
        <v>3862</v>
      </c>
    </row>
    <row r="209" spans="6:13" x14ac:dyDescent="0.35">
      <c r="F209" s="483">
        <v>43160</v>
      </c>
      <c r="G209">
        <f t="shared" si="3"/>
        <v>2018</v>
      </c>
      <c r="H209" t="s">
        <v>1118</v>
      </c>
      <c r="I209" t="s">
        <v>885</v>
      </c>
      <c r="J209" t="s">
        <v>24</v>
      </c>
      <c r="K209" t="s">
        <v>890</v>
      </c>
      <c r="L209" t="s">
        <v>2132</v>
      </c>
      <c r="M209">
        <v>5987</v>
      </c>
    </row>
    <row r="210" spans="6:13" x14ac:dyDescent="0.35">
      <c r="F210" s="483">
        <v>42749</v>
      </c>
      <c r="G210">
        <f t="shared" si="3"/>
        <v>2017</v>
      </c>
      <c r="H210" t="s">
        <v>1119</v>
      </c>
      <c r="I210" t="s">
        <v>939</v>
      </c>
      <c r="J210" t="s">
        <v>36</v>
      </c>
      <c r="K210" t="s">
        <v>2123</v>
      </c>
      <c r="L210" t="s">
        <v>2131</v>
      </c>
      <c r="M210">
        <v>4222</v>
      </c>
    </row>
    <row r="211" spans="6:13" x14ac:dyDescent="0.35">
      <c r="F211" s="483">
        <v>43333</v>
      </c>
      <c r="G211">
        <f t="shared" si="3"/>
        <v>2018</v>
      </c>
      <c r="H211" t="s">
        <v>1120</v>
      </c>
      <c r="I211" t="s">
        <v>885</v>
      </c>
      <c r="J211" t="s">
        <v>37</v>
      </c>
      <c r="K211" t="s">
        <v>882</v>
      </c>
      <c r="L211" t="s">
        <v>2128</v>
      </c>
      <c r="M211">
        <v>2194</v>
      </c>
    </row>
    <row r="212" spans="6:13" x14ac:dyDescent="0.35">
      <c r="F212" s="483">
        <v>42787</v>
      </c>
      <c r="G212">
        <f t="shared" si="3"/>
        <v>2017</v>
      </c>
      <c r="H212" t="s">
        <v>1121</v>
      </c>
      <c r="I212" t="s">
        <v>881</v>
      </c>
      <c r="J212" t="s">
        <v>36</v>
      </c>
      <c r="K212" t="s">
        <v>890</v>
      </c>
      <c r="L212" t="s">
        <v>2131</v>
      </c>
      <c r="M212">
        <v>4597</v>
      </c>
    </row>
    <row r="213" spans="6:13" x14ac:dyDescent="0.35">
      <c r="F213" s="483">
        <v>43248</v>
      </c>
      <c r="G213">
        <f t="shared" si="3"/>
        <v>2018</v>
      </c>
      <c r="H213" t="s">
        <v>1122</v>
      </c>
      <c r="I213" t="s">
        <v>881</v>
      </c>
      <c r="J213" t="s">
        <v>36</v>
      </c>
      <c r="K213" t="s">
        <v>890</v>
      </c>
      <c r="L213" t="s">
        <v>2131</v>
      </c>
      <c r="M213">
        <v>6238</v>
      </c>
    </row>
    <row r="214" spans="6:13" x14ac:dyDescent="0.35">
      <c r="F214" s="483">
        <v>43274</v>
      </c>
      <c r="G214">
        <f t="shared" si="3"/>
        <v>2018</v>
      </c>
      <c r="H214" t="s">
        <v>1123</v>
      </c>
      <c r="I214" t="s">
        <v>881</v>
      </c>
      <c r="J214" t="s">
        <v>34</v>
      </c>
      <c r="K214" t="s">
        <v>882</v>
      </c>
      <c r="L214" t="s">
        <v>2126</v>
      </c>
      <c r="M214">
        <v>2406</v>
      </c>
    </row>
    <row r="215" spans="6:13" x14ac:dyDescent="0.35">
      <c r="F215" s="483">
        <v>43013</v>
      </c>
      <c r="G215">
        <f t="shared" si="3"/>
        <v>2017</v>
      </c>
      <c r="H215" t="s">
        <v>1124</v>
      </c>
      <c r="I215" t="s">
        <v>881</v>
      </c>
      <c r="J215" t="s">
        <v>37</v>
      </c>
      <c r="K215" t="s">
        <v>890</v>
      </c>
      <c r="L215" t="s">
        <v>2125</v>
      </c>
      <c r="M215">
        <v>5407</v>
      </c>
    </row>
    <row r="216" spans="6:13" x14ac:dyDescent="0.35">
      <c r="F216" s="483">
        <v>42884</v>
      </c>
      <c r="G216">
        <f t="shared" si="3"/>
        <v>2017</v>
      </c>
      <c r="H216" t="s">
        <v>1125</v>
      </c>
      <c r="I216" t="s">
        <v>925</v>
      </c>
      <c r="J216" t="s">
        <v>31</v>
      </c>
      <c r="K216" t="s">
        <v>890</v>
      </c>
      <c r="L216" t="s">
        <v>2130</v>
      </c>
      <c r="M216">
        <v>5650</v>
      </c>
    </row>
    <row r="217" spans="6:13" x14ac:dyDescent="0.35">
      <c r="F217" s="483">
        <v>43454</v>
      </c>
      <c r="G217">
        <f t="shared" si="3"/>
        <v>2018</v>
      </c>
      <c r="H217" t="s">
        <v>1126</v>
      </c>
      <c r="I217" t="s">
        <v>885</v>
      </c>
      <c r="J217" t="s">
        <v>37</v>
      </c>
      <c r="K217" t="s">
        <v>2123</v>
      </c>
      <c r="L217" t="s">
        <v>2124</v>
      </c>
      <c r="M217">
        <v>3847</v>
      </c>
    </row>
    <row r="218" spans="6:13" x14ac:dyDescent="0.35">
      <c r="F218" s="483">
        <v>43066</v>
      </c>
      <c r="G218">
        <f t="shared" si="3"/>
        <v>2017</v>
      </c>
      <c r="H218" t="s">
        <v>1127</v>
      </c>
      <c r="I218" t="s">
        <v>885</v>
      </c>
      <c r="J218" t="s">
        <v>35</v>
      </c>
      <c r="K218" t="s">
        <v>907</v>
      </c>
      <c r="L218" t="s">
        <v>2133</v>
      </c>
      <c r="M218">
        <v>7627</v>
      </c>
    </row>
    <row r="219" spans="6:13" x14ac:dyDescent="0.35">
      <c r="F219" s="483">
        <v>43018</v>
      </c>
      <c r="G219">
        <f t="shared" si="3"/>
        <v>2017</v>
      </c>
      <c r="H219" t="s">
        <v>1128</v>
      </c>
      <c r="I219" t="s">
        <v>885</v>
      </c>
      <c r="J219" t="s">
        <v>26</v>
      </c>
      <c r="K219" t="s">
        <v>2123</v>
      </c>
      <c r="L219" t="s">
        <v>2124</v>
      </c>
      <c r="M219">
        <v>6297</v>
      </c>
    </row>
    <row r="220" spans="6:13" x14ac:dyDescent="0.35">
      <c r="F220" s="483">
        <v>43248</v>
      </c>
      <c r="G220">
        <f t="shared" si="3"/>
        <v>2018</v>
      </c>
      <c r="H220" t="s">
        <v>1129</v>
      </c>
      <c r="I220" t="s">
        <v>917</v>
      </c>
      <c r="J220" t="s">
        <v>36</v>
      </c>
      <c r="K220" t="s">
        <v>890</v>
      </c>
      <c r="L220" t="s">
        <v>2131</v>
      </c>
      <c r="M220">
        <v>4368</v>
      </c>
    </row>
    <row r="221" spans="6:13" x14ac:dyDescent="0.35">
      <c r="F221" s="483">
        <v>42758</v>
      </c>
      <c r="G221">
        <f t="shared" si="3"/>
        <v>2017</v>
      </c>
      <c r="H221" t="s">
        <v>1130</v>
      </c>
      <c r="I221" t="s">
        <v>1131</v>
      </c>
      <c r="J221" t="s">
        <v>36</v>
      </c>
      <c r="K221" t="s">
        <v>907</v>
      </c>
      <c r="L221" t="s">
        <v>2129</v>
      </c>
      <c r="M221">
        <v>2097</v>
      </c>
    </row>
    <row r="222" spans="6:13" x14ac:dyDescent="0.35">
      <c r="F222" s="483">
        <v>43462</v>
      </c>
      <c r="G222">
        <f t="shared" si="3"/>
        <v>2018</v>
      </c>
      <c r="H222" t="s">
        <v>1132</v>
      </c>
      <c r="I222" t="s">
        <v>881</v>
      </c>
      <c r="J222" t="s">
        <v>38</v>
      </c>
      <c r="K222" t="s">
        <v>882</v>
      </c>
      <c r="L222" t="s">
        <v>2131</v>
      </c>
      <c r="M222">
        <v>7194</v>
      </c>
    </row>
    <row r="223" spans="6:13" x14ac:dyDescent="0.35">
      <c r="F223" s="483">
        <v>43412</v>
      </c>
      <c r="G223">
        <f t="shared" si="3"/>
        <v>2018</v>
      </c>
      <c r="H223" t="s">
        <v>1133</v>
      </c>
      <c r="I223" t="s">
        <v>881</v>
      </c>
      <c r="J223" t="s">
        <v>31</v>
      </c>
      <c r="K223" t="s">
        <v>907</v>
      </c>
      <c r="L223" t="s">
        <v>2124</v>
      </c>
      <c r="M223">
        <v>4409</v>
      </c>
    </row>
    <row r="224" spans="6:13" x14ac:dyDescent="0.35">
      <c r="F224" s="483">
        <v>43281</v>
      </c>
      <c r="G224">
        <f t="shared" si="3"/>
        <v>2018</v>
      </c>
      <c r="H224" t="s">
        <v>1134</v>
      </c>
      <c r="I224" t="s">
        <v>881</v>
      </c>
      <c r="J224" t="s">
        <v>32</v>
      </c>
      <c r="K224" t="s">
        <v>2123</v>
      </c>
      <c r="L224" t="s">
        <v>2124</v>
      </c>
      <c r="M224">
        <v>6789</v>
      </c>
    </row>
    <row r="225" spans="6:13" x14ac:dyDescent="0.35">
      <c r="F225" s="483">
        <v>43242</v>
      </c>
      <c r="G225">
        <f t="shared" si="3"/>
        <v>2018</v>
      </c>
      <c r="H225" t="s">
        <v>1135</v>
      </c>
      <c r="I225" t="s">
        <v>881</v>
      </c>
      <c r="J225" t="s">
        <v>28</v>
      </c>
      <c r="K225" t="s">
        <v>907</v>
      </c>
      <c r="L225" t="s">
        <v>2127</v>
      </c>
      <c r="M225">
        <v>5993</v>
      </c>
    </row>
    <row r="226" spans="6:13" x14ac:dyDescent="0.35">
      <c r="F226" s="483">
        <v>42966</v>
      </c>
      <c r="G226">
        <f t="shared" si="3"/>
        <v>2017</v>
      </c>
      <c r="H226" t="s">
        <v>1136</v>
      </c>
      <c r="I226" t="s">
        <v>991</v>
      </c>
      <c r="J226" t="s">
        <v>24</v>
      </c>
      <c r="K226" t="s">
        <v>2123</v>
      </c>
      <c r="L226" t="s">
        <v>2130</v>
      </c>
      <c r="M226">
        <v>5311</v>
      </c>
    </row>
    <row r="227" spans="6:13" x14ac:dyDescent="0.35">
      <c r="F227" s="483">
        <v>42932</v>
      </c>
      <c r="G227">
        <f t="shared" si="3"/>
        <v>2017</v>
      </c>
      <c r="H227" t="s">
        <v>1137</v>
      </c>
      <c r="I227" t="s">
        <v>885</v>
      </c>
      <c r="J227" t="s">
        <v>23</v>
      </c>
      <c r="K227" t="s">
        <v>882</v>
      </c>
      <c r="L227" t="s">
        <v>2126</v>
      </c>
      <c r="M227">
        <v>3618</v>
      </c>
    </row>
    <row r="228" spans="6:13" x14ac:dyDescent="0.35">
      <c r="F228" s="483">
        <v>43332</v>
      </c>
      <c r="G228">
        <f t="shared" si="3"/>
        <v>2018</v>
      </c>
      <c r="H228" t="s">
        <v>1138</v>
      </c>
      <c r="I228" t="s">
        <v>881</v>
      </c>
      <c r="J228" t="s">
        <v>26</v>
      </c>
      <c r="K228" t="s">
        <v>907</v>
      </c>
      <c r="L228" t="s">
        <v>2126</v>
      </c>
      <c r="M228">
        <v>8451</v>
      </c>
    </row>
    <row r="229" spans="6:13" x14ac:dyDescent="0.35">
      <c r="F229" s="483">
        <v>42793</v>
      </c>
      <c r="G229">
        <f t="shared" si="3"/>
        <v>2017</v>
      </c>
      <c r="H229" t="s">
        <v>1139</v>
      </c>
      <c r="I229" t="s">
        <v>1016</v>
      </c>
      <c r="J229" t="s">
        <v>35</v>
      </c>
      <c r="K229" t="s">
        <v>2123</v>
      </c>
      <c r="L229" t="s">
        <v>2128</v>
      </c>
      <c r="M229">
        <v>5722</v>
      </c>
    </row>
    <row r="230" spans="6:13" x14ac:dyDescent="0.35">
      <c r="F230" s="483">
        <v>42911</v>
      </c>
      <c r="G230">
        <f t="shared" si="3"/>
        <v>2017</v>
      </c>
      <c r="H230" t="s">
        <v>1140</v>
      </c>
      <c r="I230" t="s">
        <v>881</v>
      </c>
      <c r="J230" t="s">
        <v>30</v>
      </c>
      <c r="K230" t="s">
        <v>890</v>
      </c>
      <c r="L230" t="s">
        <v>2128</v>
      </c>
      <c r="M230">
        <v>8073</v>
      </c>
    </row>
    <row r="231" spans="6:13" x14ac:dyDescent="0.35">
      <c r="F231" s="483">
        <v>42949</v>
      </c>
      <c r="G231">
        <f t="shared" si="3"/>
        <v>2017</v>
      </c>
      <c r="H231" t="s">
        <v>1141</v>
      </c>
      <c r="I231" t="s">
        <v>881</v>
      </c>
      <c r="J231" t="s">
        <v>33</v>
      </c>
      <c r="K231" t="s">
        <v>907</v>
      </c>
      <c r="L231" t="s">
        <v>2124</v>
      </c>
      <c r="M231">
        <v>2264</v>
      </c>
    </row>
    <row r="232" spans="6:13" x14ac:dyDescent="0.35">
      <c r="F232" s="483">
        <v>42816</v>
      </c>
      <c r="G232">
        <f t="shared" si="3"/>
        <v>2017</v>
      </c>
      <c r="H232" t="s">
        <v>1142</v>
      </c>
      <c r="I232" t="s">
        <v>932</v>
      </c>
      <c r="J232" t="s">
        <v>36</v>
      </c>
      <c r="K232" t="s">
        <v>2123</v>
      </c>
      <c r="L232" t="s">
        <v>2133</v>
      </c>
      <c r="M232">
        <v>8978</v>
      </c>
    </row>
    <row r="233" spans="6:13" x14ac:dyDescent="0.35">
      <c r="F233" s="483">
        <v>43306</v>
      </c>
      <c r="G233">
        <f t="shared" si="3"/>
        <v>2018</v>
      </c>
      <c r="H233" t="s">
        <v>1143</v>
      </c>
      <c r="I233" t="s">
        <v>885</v>
      </c>
      <c r="J233" t="s">
        <v>37</v>
      </c>
      <c r="K233" t="s">
        <v>2123</v>
      </c>
      <c r="L233" t="s">
        <v>2125</v>
      </c>
      <c r="M233">
        <v>6170</v>
      </c>
    </row>
    <row r="234" spans="6:13" x14ac:dyDescent="0.35">
      <c r="F234" s="483">
        <v>43286</v>
      </c>
      <c r="G234">
        <f t="shared" si="3"/>
        <v>2018</v>
      </c>
      <c r="H234" t="s">
        <v>1144</v>
      </c>
      <c r="I234" t="s">
        <v>881</v>
      </c>
      <c r="J234" t="s">
        <v>33</v>
      </c>
      <c r="K234" t="s">
        <v>907</v>
      </c>
      <c r="L234" t="s">
        <v>2127</v>
      </c>
      <c r="M234">
        <v>3077</v>
      </c>
    </row>
    <row r="235" spans="6:13" x14ac:dyDescent="0.35">
      <c r="F235" s="483">
        <v>43151</v>
      </c>
      <c r="G235">
        <f t="shared" si="3"/>
        <v>2018</v>
      </c>
      <c r="H235" t="s">
        <v>1145</v>
      </c>
      <c r="I235" t="s">
        <v>885</v>
      </c>
      <c r="J235" t="s">
        <v>24</v>
      </c>
      <c r="K235" t="s">
        <v>882</v>
      </c>
      <c r="L235" t="s">
        <v>2125</v>
      </c>
      <c r="M235">
        <v>7200</v>
      </c>
    </row>
    <row r="236" spans="6:13" x14ac:dyDescent="0.35">
      <c r="F236" s="483">
        <v>43260</v>
      </c>
      <c r="G236">
        <f t="shared" si="3"/>
        <v>2018</v>
      </c>
      <c r="H236" t="s">
        <v>1146</v>
      </c>
      <c r="I236" t="s">
        <v>885</v>
      </c>
      <c r="J236" t="s">
        <v>36</v>
      </c>
      <c r="K236" t="s">
        <v>882</v>
      </c>
      <c r="L236" t="s">
        <v>2128</v>
      </c>
      <c r="M236">
        <v>8126</v>
      </c>
    </row>
    <row r="237" spans="6:13" x14ac:dyDescent="0.35">
      <c r="F237" s="483">
        <v>42739</v>
      </c>
      <c r="G237">
        <f t="shared" si="3"/>
        <v>2017</v>
      </c>
      <c r="H237" t="s">
        <v>1147</v>
      </c>
      <c r="I237" t="s">
        <v>881</v>
      </c>
      <c r="J237" t="s">
        <v>24</v>
      </c>
      <c r="K237" t="s">
        <v>882</v>
      </c>
      <c r="L237" t="s">
        <v>2133</v>
      </c>
      <c r="M237">
        <v>8856</v>
      </c>
    </row>
    <row r="238" spans="6:13" x14ac:dyDescent="0.35">
      <c r="F238" s="483">
        <v>43405</v>
      </c>
      <c r="G238">
        <f t="shared" si="3"/>
        <v>2018</v>
      </c>
      <c r="H238" t="s">
        <v>1148</v>
      </c>
      <c r="I238" t="s">
        <v>881</v>
      </c>
      <c r="J238" t="s">
        <v>31</v>
      </c>
      <c r="K238" t="s">
        <v>890</v>
      </c>
      <c r="L238" t="s">
        <v>2126</v>
      </c>
      <c r="M238">
        <v>1203</v>
      </c>
    </row>
    <row r="239" spans="6:13" x14ac:dyDescent="0.35">
      <c r="F239" s="483">
        <v>42743</v>
      </c>
      <c r="G239">
        <f t="shared" si="3"/>
        <v>2017</v>
      </c>
      <c r="H239" t="s">
        <v>1149</v>
      </c>
      <c r="I239" t="s">
        <v>957</v>
      </c>
      <c r="J239" t="s">
        <v>29</v>
      </c>
      <c r="K239" t="s">
        <v>907</v>
      </c>
      <c r="L239" t="s">
        <v>2127</v>
      </c>
      <c r="M239">
        <v>5883</v>
      </c>
    </row>
    <row r="240" spans="6:13" x14ac:dyDescent="0.35">
      <c r="F240" s="483">
        <v>43402</v>
      </c>
      <c r="G240">
        <f t="shared" si="3"/>
        <v>2018</v>
      </c>
      <c r="H240" t="s">
        <v>1150</v>
      </c>
      <c r="I240" t="s">
        <v>881</v>
      </c>
      <c r="J240" t="s">
        <v>33</v>
      </c>
      <c r="K240" t="s">
        <v>907</v>
      </c>
      <c r="L240" t="s">
        <v>2126</v>
      </c>
      <c r="M240">
        <v>8703</v>
      </c>
    </row>
    <row r="241" spans="6:13" x14ac:dyDescent="0.35">
      <c r="F241" s="483">
        <v>43392</v>
      </c>
      <c r="G241">
        <f t="shared" si="3"/>
        <v>2018</v>
      </c>
      <c r="H241" t="s">
        <v>1151</v>
      </c>
      <c r="I241" t="s">
        <v>895</v>
      </c>
      <c r="J241" t="s">
        <v>30</v>
      </c>
      <c r="K241" t="s">
        <v>2123</v>
      </c>
      <c r="L241" t="s">
        <v>2125</v>
      </c>
      <c r="M241">
        <v>6516</v>
      </c>
    </row>
    <row r="242" spans="6:13" x14ac:dyDescent="0.35">
      <c r="F242" s="483">
        <v>43309</v>
      </c>
      <c r="G242">
        <f t="shared" si="3"/>
        <v>2018</v>
      </c>
      <c r="H242" t="s">
        <v>1152</v>
      </c>
      <c r="I242" t="s">
        <v>881</v>
      </c>
      <c r="J242" t="s">
        <v>26</v>
      </c>
      <c r="K242" t="s">
        <v>882</v>
      </c>
      <c r="L242" t="s">
        <v>2126</v>
      </c>
      <c r="M242">
        <v>5993</v>
      </c>
    </row>
    <row r="243" spans="6:13" x14ac:dyDescent="0.35">
      <c r="F243" s="483">
        <v>43348</v>
      </c>
      <c r="G243">
        <f t="shared" si="3"/>
        <v>2018</v>
      </c>
      <c r="H243" t="s">
        <v>1153</v>
      </c>
      <c r="I243" t="s">
        <v>881</v>
      </c>
      <c r="J243" t="s">
        <v>31</v>
      </c>
      <c r="K243" t="s">
        <v>2123</v>
      </c>
      <c r="L243" t="s">
        <v>2127</v>
      </c>
      <c r="M243">
        <v>3599</v>
      </c>
    </row>
    <row r="244" spans="6:13" x14ac:dyDescent="0.35">
      <c r="F244" s="483">
        <v>42910</v>
      </c>
      <c r="G244">
        <f t="shared" si="3"/>
        <v>2017</v>
      </c>
      <c r="H244" t="s">
        <v>1154</v>
      </c>
      <c r="I244" t="s">
        <v>925</v>
      </c>
      <c r="J244" t="s">
        <v>29</v>
      </c>
      <c r="K244" t="s">
        <v>882</v>
      </c>
      <c r="L244" t="s">
        <v>2125</v>
      </c>
      <c r="M244">
        <v>4822</v>
      </c>
    </row>
    <row r="245" spans="6:13" x14ac:dyDescent="0.35">
      <c r="F245" s="483">
        <v>42818</v>
      </c>
      <c r="G245">
        <f t="shared" si="3"/>
        <v>2017</v>
      </c>
      <c r="H245" t="s">
        <v>1155</v>
      </c>
      <c r="I245" t="s">
        <v>881</v>
      </c>
      <c r="J245" t="s">
        <v>32</v>
      </c>
      <c r="K245" t="s">
        <v>890</v>
      </c>
      <c r="L245" t="s">
        <v>2128</v>
      </c>
      <c r="M245">
        <v>8336</v>
      </c>
    </row>
    <row r="246" spans="6:13" x14ac:dyDescent="0.35">
      <c r="F246" s="483">
        <v>42974</v>
      </c>
      <c r="G246">
        <f t="shared" si="3"/>
        <v>2017</v>
      </c>
      <c r="H246" t="s">
        <v>1156</v>
      </c>
      <c r="I246" t="s">
        <v>885</v>
      </c>
      <c r="J246" t="s">
        <v>36</v>
      </c>
      <c r="K246" t="s">
        <v>907</v>
      </c>
      <c r="L246" t="s">
        <v>2125</v>
      </c>
      <c r="M246">
        <v>6307</v>
      </c>
    </row>
    <row r="247" spans="6:13" x14ac:dyDescent="0.35">
      <c r="F247" s="483">
        <v>42823</v>
      </c>
      <c r="G247">
        <f t="shared" si="3"/>
        <v>2017</v>
      </c>
      <c r="H247" t="s">
        <v>1157</v>
      </c>
      <c r="I247" t="s">
        <v>957</v>
      </c>
      <c r="J247" t="s">
        <v>29</v>
      </c>
      <c r="K247" t="s">
        <v>907</v>
      </c>
      <c r="L247" t="s">
        <v>2124</v>
      </c>
      <c r="M247">
        <v>5618</v>
      </c>
    </row>
    <row r="248" spans="6:13" x14ac:dyDescent="0.35">
      <c r="F248" s="483">
        <v>43121</v>
      </c>
      <c r="G248">
        <f t="shared" si="3"/>
        <v>2018</v>
      </c>
      <c r="H248" t="s">
        <v>1158</v>
      </c>
      <c r="I248" t="s">
        <v>881</v>
      </c>
      <c r="J248" t="s">
        <v>31</v>
      </c>
      <c r="K248" t="s">
        <v>907</v>
      </c>
      <c r="L248" t="s">
        <v>2127</v>
      </c>
      <c r="M248">
        <v>6754</v>
      </c>
    </row>
    <row r="249" spans="6:13" x14ac:dyDescent="0.35">
      <c r="F249" s="483">
        <v>43346</v>
      </c>
      <c r="G249">
        <f t="shared" si="3"/>
        <v>2018</v>
      </c>
      <c r="H249" t="s">
        <v>1159</v>
      </c>
      <c r="I249" t="s">
        <v>895</v>
      </c>
      <c r="J249" t="s">
        <v>23</v>
      </c>
      <c r="K249" t="s">
        <v>882</v>
      </c>
      <c r="L249" t="s">
        <v>2130</v>
      </c>
      <c r="M249">
        <v>7412</v>
      </c>
    </row>
    <row r="250" spans="6:13" x14ac:dyDescent="0.35">
      <c r="F250" s="483">
        <v>43400</v>
      </c>
      <c r="G250">
        <f t="shared" si="3"/>
        <v>2018</v>
      </c>
      <c r="H250" t="s">
        <v>1160</v>
      </c>
      <c r="I250" t="s">
        <v>906</v>
      </c>
      <c r="J250" t="s">
        <v>37</v>
      </c>
      <c r="K250" t="s">
        <v>907</v>
      </c>
      <c r="L250" t="s">
        <v>2130</v>
      </c>
      <c r="M250">
        <v>7296</v>
      </c>
    </row>
    <row r="251" spans="6:13" x14ac:dyDescent="0.35">
      <c r="F251" s="483">
        <v>43186</v>
      </c>
      <c r="G251">
        <f t="shared" si="3"/>
        <v>2018</v>
      </c>
      <c r="H251" t="s">
        <v>1161</v>
      </c>
      <c r="I251" t="s">
        <v>885</v>
      </c>
      <c r="J251" t="s">
        <v>32</v>
      </c>
      <c r="K251" t="s">
        <v>882</v>
      </c>
      <c r="L251" t="s">
        <v>2128</v>
      </c>
      <c r="M251">
        <v>5128</v>
      </c>
    </row>
    <row r="252" spans="6:13" x14ac:dyDescent="0.35">
      <c r="F252" s="483">
        <v>43212</v>
      </c>
      <c r="G252">
        <f t="shared" si="3"/>
        <v>2018</v>
      </c>
      <c r="H252" t="s">
        <v>1162</v>
      </c>
      <c r="I252" t="s">
        <v>1022</v>
      </c>
      <c r="J252" t="s">
        <v>24</v>
      </c>
      <c r="K252" t="s">
        <v>882</v>
      </c>
      <c r="L252" t="s">
        <v>2127</v>
      </c>
      <c r="M252">
        <v>1536</v>
      </c>
    </row>
    <row r="253" spans="6:13" x14ac:dyDescent="0.35">
      <c r="F253" s="483">
        <v>43251</v>
      </c>
      <c r="G253">
        <f t="shared" si="3"/>
        <v>2018</v>
      </c>
      <c r="H253" t="s">
        <v>1163</v>
      </c>
      <c r="I253" t="s">
        <v>881</v>
      </c>
      <c r="J253" t="s">
        <v>31</v>
      </c>
      <c r="K253" t="s">
        <v>882</v>
      </c>
      <c r="L253" t="s">
        <v>2130</v>
      </c>
      <c r="M253">
        <v>7851</v>
      </c>
    </row>
    <row r="254" spans="6:13" x14ac:dyDescent="0.35">
      <c r="F254" s="483">
        <v>42877</v>
      </c>
      <c r="G254">
        <f t="shared" si="3"/>
        <v>2017</v>
      </c>
      <c r="H254" t="s">
        <v>1164</v>
      </c>
      <c r="I254" t="s">
        <v>939</v>
      </c>
      <c r="J254" t="s">
        <v>24</v>
      </c>
      <c r="K254" t="s">
        <v>882</v>
      </c>
      <c r="L254" t="s">
        <v>2129</v>
      </c>
      <c r="M254">
        <v>1637</v>
      </c>
    </row>
    <row r="255" spans="6:13" x14ac:dyDescent="0.35">
      <c r="F255" s="483">
        <v>42900</v>
      </c>
      <c r="G255">
        <f t="shared" si="3"/>
        <v>2017</v>
      </c>
      <c r="H255" t="s">
        <v>1165</v>
      </c>
      <c r="I255" t="s">
        <v>881</v>
      </c>
      <c r="J255" t="s">
        <v>24</v>
      </c>
      <c r="K255" t="s">
        <v>882</v>
      </c>
      <c r="L255" t="s">
        <v>2127</v>
      </c>
      <c r="M255">
        <v>4939</v>
      </c>
    </row>
    <row r="256" spans="6:13" x14ac:dyDescent="0.35">
      <c r="F256" s="483">
        <v>42873</v>
      </c>
      <c r="G256">
        <f t="shared" si="3"/>
        <v>2017</v>
      </c>
      <c r="H256" t="s">
        <v>1166</v>
      </c>
      <c r="I256" t="s">
        <v>881</v>
      </c>
      <c r="J256" t="s">
        <v>24</v>
      </c>
      <c r="K256" t="s">
        <v>907</v>
      </c>
      <c r="L256" t="s">
        <v>2128</v>
      </c>
      <c r="M256">
        <v>4393</v>
      </c>
    </row>
    <row r="257" spans="6:13" x14ac:dyDescent="0.35">
      <c r="F257" s="483">
        <v>43308</v>
      </c>
      <c r="G257">
        <f t="shared" si="3"/>
        <v>2018</v>
      </c>
      <c r="H257" t="s">
        <v>1167</v>
      </c>
      <c r="I257" t="s">
        <v>906</v>
      </c>
      <c r="J257" t="s">
        <v>35</v>
      </c>
      <c r="K257" t="s">
        <v>907</v>
      </c>
      <c r="L257" t="s">
        <v>2130</v>
      </c>
      <c r="M257">
        <v>5122</v>
      </c>
    </row>
    <row r="258" spans="6:13" x14ac:dyDescent="0.35">
      <c r="F258" s="483">
        <v>43384</v>
      </c>
      <c r="G258">
        <f t="shared" si="3"/>
        <v>2018</v>
      </c>
      <c r="H258" t="s">
        <v>1168</v>
      </c>
      <c r="I258" t="s">
        <v>881</v>
      </c>
      <c r="J258" t="s">
        <v>35</v>
      </c>
      <c r="K258" t="s">
        <v>890</v>
      </c>
      <c r="L258" t="s">
        <v>2133</v>
      </c>
      <c r="M258">
        <v>7472</v>
      </c>
    </row>
    <row r="259" spans="6:13" x14ac:dyDescent="0.35">
      <c r="F259" s="483">
        <v>43326</v>
      </c>
      <c r="G259">
        <f t="shared" si="3"/>
        <v>2018</v>
      </c>
      <c r="H259" t="s">
        <v>1169</v>
      </c>
      <c r="I259" t="s">
        <v>976</v>
      </c>
      <c r="J259" t="s">
        <v>28</v>
      </c>
      <c r="K259" t="s">
        <v>890</v>
      </c>
      <c r="L259" t="s">
        <v>2129</v>
      </c>
      <c r="M259">
        <v>6120</v>
      </c>
    </row>
    <row r="260" spans="6:13" x14ac:dyDescent="0.35">
      <c r="F260" s="483">
        <v>42757</v>
      </c>
      <c r="G260">
        <f t="shared" si="3"/>
        <v>2017</v>
      </c>
      <c r="H260" t="s">
        <v>1170</v>
      </c>
      <c r="I260" t="s">
        <v>1171</v>
      </c>
      <c r="J260" t="s">
        <v>26</v>
      </c>
      <c r="K260" t="s">
        <v>907</v>
      </c>
      <c r="L260" t="s">
        <v>2125</v>
      </c>
      <c r="M260">
        <v>5345</v>
      </c>
    </row>
    <row r="261" spans="6:13" x14ac:dyDescent="0.35">
      <c r="F261" s="483">
        <v>43391</v>
      </c>
      <c r="G261">
        <f t="shared" si="3"/>
        <v>2018</v>
      </c>
      <c r="H261" t="s">
        <v>1172</v>
      </c>
      <c r="I261" t="s">
        <v>912</v>
      </c>
      <c r="J261" t="s">
        <v>26</v>
      </c>
      <c r="K261" t="s">
        <v>907</v>
      </c>
      <c r="L261" t="s">
        <v>2124</v>
      </c>
      <c r="M261">
        <v>3524</v>
      </c>
    </row>
    <row r="262" spans="6:13" x14ac:dyDescent="0.35">
      <c r="F262" s="483">
        <v>43431</v>
      </c>
      <c r="G262">
        <f t="shared" si="3"/>
        <v>2018</v>
      </c>
      <c r="H262" t="s">
        <v>1173</v>
      </c>
      <c r="I262" t="s">
        <v>976</v>
      </c>
      <c r="J262" t="s">
        <v>37</v>
      </c>
      <c r="K262" t="s">
        <v>2123</v>
      </c>
      <c r="L262" t="s">
        <v>2126</v>
      </c>
      <c r="M262">
        <v>8581</v>
      </c>
    </row>
    <row r="263" spans="6:13" x14ac:dyDescent="0.35">
      <c r="F263" s="483">
        <v>43285</v>
      </c>
      <c r="G263">
        <f t="shared" si="3"/>
        <v>2018</v>
      </c>
      <c r="H263" t="s">
        <v>1174</v>
      </c>
      <c r="I263" t="s">
        <v>967</v>
      </c>
      <c r="J263" t="s">
        <v>31</v>
      </c>
      <c r="K263" t="s">
        <v>2123</v>
      </c>
      <c r="L263" t="s">
        <v>2125</v>
      </c>
      <c r="M263">
        <v>2882</v>
      </c>
    </row>
    <row r="264" spans="6:13" x14ac:dyDescent="0.35">
      <c r="F264" s="483">
        <v>43379</v>
      </c>
      <c r="G264">
        <f t="shared" si="3"/>
        <v>2018</v>
      </c>
      <c r="H264" t="s">
        <v>1175</v>
      </c>
      <c r="I264" t="s">
        <v>893</v>
      </c>
      <c r="J264" t="s">
        <v>35</v>
      </c>
      <c r="K264" t="s">
        <v>882</v>
      </c>
      <c r="L264" t="s">
        <v>2124</v>
      </c>
      <c r="M264">
        <v>5414</v>
      </c>
    </row>
    <row r="265" spans="6:13" x14ac:dyDescent="0.35">
      <c r="F265" s="483">
        <v>43056</v>
      </c>
      <c r="G265">
        <f t="shared" si="3"/>
        <v>2017</v>
      </c>
      <c r="H265" t="s">
        <v>1176</v>
      </c>
      <c r="I265" t="s">
        <v>1171</v>
      </c>
      <c r="J265" t="s">
        <v>37</v>
      </c>
      <c r="K265" t="s">
        <v>907</v>
      </c>
      <c r="L265" t="s">
        <v>2124</v>
      </c>
      <c r="M265">
        <v>7833</v>
      </c>
    </row>
    <row r="266" spans="6:13" x14ac:dyDescent="0.35">
      <c r="F266" s="483">
        <v>42898</v>
      </c>
      <c r="G266">
        <f t="shared" ref="G266:G329" si="4">YEAR(F266)</f>
        <v>2017</v>
      </c>
      <c r="H266" t="s">
        <v>1177</v>
      </c>
      <c r="I266" t="s">
        <v>1171</v>
      </c>
      <c r="J266" t="s">
        <v>38</v>
      </c>
      <c r="K266" t="s">
        <v>907</v>
      </c>
      <c r="L266" t="s">
        <v>2129</v>
      </c>
      <c r="M266">
        <v>6750</v>
      </c>
    </row>
    <row r="267" spans="6:13" x14ac:dyDescent="0.35">
      <c r="F267" s="483">
        <v>43046</v>
      </c>
      <c r="G267">
        <f t="shared" si="4"/>
        <v>2017</v>
      </c>
      <c r="H267" t="s">
        <v>1178</v>
      </c>
      <c r="I267" t="s">
        <v>1171</v>
      </c>
      <c r="J267" t="s">
        <v>33</v>
      </c>
      <c r="K267" t="s">
        <v>907</v>
      </c>
      <c r="L267" t="s">
        <v>2130</v>
      </c>
      <c r="M267">
        <v>4786</v>
      </c>
    </row>
    <row r="268" spans="6:13" x14ac:dyDescent="0.35">
      <c r="F268" s="483">
        <v>42836</v>
      </c>
      <c r="G268">
        <f t="shared" si="4"/>
        <v>2017</v>
      </c>
      <c r="H268" t="s">
        <v>1179</v>
      </c>
      <c r="I268" t="s">
        <v>895</v>
      </c>
      <c r="J268" t="s">
        <v>28</v>
      </c>
      <c r="K268" t="s">
        <v>890</v>
      </c>
      <c r="L268" t="s">
        <v>2128</v>
      </c>
      <c r="M268">
        <v>2193</v>
      </c>
    </row>
    <row r="269" spans="6:13" x14ac:dyDescent="0.35">
      <c r="F269" s="483">
        <v>42976</v>
      </c>
      <c r="G269">
        <f t="shared" si="4"/>
        <v>2017</v>
      </c>
      <c r="H269" t="s">
        <v>1180</v>
      </c>
      <c r="I269" t="s">
        <v>885</v>
      </c>
      <c r="J269" t="s">
        <v>24</v>
      </c>
      <c r="K269" t="s">
        <v>882</v>
      </c>
      <c r="L269" t="s">
        <v>2131</v>
      </c>
      <c r="M269">
        <v>5231</v>
      </c>
    </row>
    <row r="270" spans="6:13" x14ac:dyDescent="0.35">
      <c r="F270" s="483">
        <v>42966</v>
      </c>
      <c r="G270">
        <f t="shared" si="4"/>
        <v>2017</v>
      </c>
      <c r="H270" t="s">
        <v>1181</v>
      </c>
      <c r="I270" t="s">
        <v>885</v>
      </c>
      <c r="J270" t="s">
        <v>26</v>
      </c>
      <c r="K270" t="s">
        <v>890</v>
      </c>
      <c r="L270" t="s">
        <v>2124</v>
      </c>
      <c r="M270">
        <v>6260</v>
      </c>
    </row>
    <row r="271" spans="6:13" x14ac:dyDescent="0.35">
      <c r="F271" s="483">
        <v>43412</v>
      </c>
      <c r="G271">
        <f t="shared" si="4"/>
        <v>2018</v>
      </c>
      <c r="H271" t="s">
        <v>1182</v>
      </c>
      <c r="I271" t="s">
        <v>1183</v>
      </c>
      <c r="J271" t="s">
        <v>28</v>
      </c>
      <c r="K271" t="s">
        <v>907</v>
      </c>
      <c r="L271" t="s">
        <v>2129</v>
      </c>
      <c r="M271">
        <v>8633</v>
      </c>
    </row>
    <row r="272" spans="6:13" x14ac:dyDescent="0.35">
      <c r="F272" s="483">
        <v>43258</v>
      </c>
      <c r="G272">
        <f t="shared" si="4"/>
        <v>2018</v>
      </c>
      <c r="H272" t="s">
        <v>1184</v>
      </c>
      <c r="I272" t="s">
        <v>885</v>
      </c>
      <c r="J272" t="s">
        <v>31</v>
      </c>
      <c r="K272" t="s">
        <v>890</v>
      </c>
      <c r="L272" t="s">
        <v>2124</v>
      </c>
      <c r="M272">
        <v>2346</v>
      </c>
    </row>
    <row r="273" spans="6:13" x14ac:dyDescent="0.35">
      <c r="F273" s="483">
        <v>43343</v>
      </c>
      <c r="G273">
        <f t="shared" si="4"/>
        <v>2018</v>
      </c>
      <c r="H273" t="s">
        <v>1185</v>
      </c>
      <c r="I273" t="s">
        <v>906</v>
      </c>
      <c r="J273" t="s">
        <v>34</v>
      </c>
      <c r="K273" t="s">
        <v>882</v>
      </c>
      <c r="L273" t="s">
        <v>2127</v>
      </c>
      <c r="M273">
        <v>3207</v>
      </c>
    </row>
    <row r="274" spans="6:13" x14ac:dyDescent="0.35">
      <c r="F274" s="483">
        <v>43260</v>
      </c>
      <c r="G274">
        <f t="shared" si="4"/>
        <v>2018</v>
      </c>
      <c r="H274" t="s">
        <v>1186</v>
      </c>
      <c r="I274" t="s">
        <v>885</v>
      </c>
      <c r="J274" t="s">
        <v>31</v>
      </c>
      <c r="K274" t="s">
        <v>882</v>
      </c>
      <c r="L274" t="s">
        <v>2124</v>
      </c>
      <c r="M274">
        <v>5880</v>
      </c>
    </row>
    <row r="275" spans="6:13" x14ac:dyDescent="0.35">
      <c r="F275" s="483">
        <v>42754</v>
      </c>
      <c r="G275">
        <f t="shared" si="4"/>
        <v>2017</v>
      </c>
      <c r="H275" t="s">
        <v>1187</v>
      </c>
      <c r="I275" t="s">
        <v>930</v>
      </c>
      <c r="J275" t="s">
        <v>35</v>
      </c>
      <c r="K275" t="s">
        <v>907</v>
      </c>
      <c r="L275" t="s">
        <v>2132</v>
      </c>
      <c r="M275">
        <v>2559</v>
      </c>
    </row>
    <row r="276" spans="6:13" x14ac:dyDescent="0.35">
      <c r="F276" s="483">
        <v>42855</v>
      </c>
      <c r="G276">
        <f t="shared" si="4"/>
        <v>2017</v>
      </c>
      <c r="H276" t="s">
        <v>1188</v>
      </c>
      <c r="I276" t="s">
        <v>906</v>
      </c>
      <c r="J276" t="s">
        <v>36</v>
      </c>
      <c r="K276" t="s">
        <v>2123</v>
      </c>
      <c r="L276" t="s">
        <v>2128</v>
      </c>
      <c r="M276">
        <v>7563</v>
      </c>
    </row>
    <row r="277" spans="6:13" x14ac:dyDescent="0.35">
      <c r="F277" s="483">
        <v>42752</v>
      </c>
      <c r="G277">
        <f t="shared" si="4"/>
        <v>2017</v>
      </c>
      <c r="H277" t="s">
        <v>1189</v>
      </c>
      <c r="I277" t="s">
        <v>885</v>
      </c>
      <c r="J277" t="s">
        <v>35</v>
      </c>
      <c r="K277" t="s">
        <v>907</v>
      </c>
      <c r="L277" t="s">
        <v>2127</v>
      </c>
      <c r="M277">
        <v>6215</v>
      </c>
    </row>
    <row r="278" spans="6:13" x14ac:dyDescent="0.35">
      <c r="F278" s="483">
        <v>42798</v>
      </c>
      <c r="G278">
        <f t="shared" si="4"/>
        <v>2017</v>
      </c>
      <c r="H278" t="s">
        <v>1190</v>
      </c>
      <c r="I278" t="s">
        <v>906</v>
      </c>
      <c r="J278" t="s">
        <v>24</v>
      </c>
      <c r="K278" t="s">
        <v>2123</v>
      </c>
      <c r="L278" t="s">
        <v>2127</v>
      </c>
      <c r="M278">
        <v>8452</v>
      </c>
    </row>
    <row r="279" spans="6:13" x14ac:dyDescent="0.35">
      <c r="F279" s="483">
        <v>43389</v>
      </c>
      <c r="G279">
        <f t="shared" si="4"/>
        <v>2018</v>
      </c>
      <c r="H279" t="s">
        <v>1191</v>
      </c>
      <c r="I279" t="s">
        <v>906</v>
      </c>
      <c r="J279" t="s">
        <v>29</v>
      </c>
      <c r="K279" t="s">
        <v>2123</v>
      </c>
      <c r="L279" t="s">
        <v>2130</v>
      </c>
      <c r="M279">
        <v>3409</v>
      </c>
    </row>
    <row r="280" spans="6:13" x14ac:dyDescent="0.35">
      <c r="F280" s="483">
        <v>42809</v>
      </c>
      <c r="G280">
        <f t="shared" si="4"/>
        <v>2017</v>
      </c>
      <c r="H280" t="s">
        <v>1192</v>
      </c>
      <c r="I280" t="s">
        <v>885</v>
      </c>
      <c r="J280" t="s">
        <v>28</v>
      </c>
      <c r="K280" t="s">
        <v>907</v>
      </c>
      <c r="L280" t="s">
        <v>2129</v>
      </c>
      <c r="M280">
        <v>3063</v>
      </c>
    </row>
    <row r="281" spans="6:13" x14ac:dyDescent="0.35">
      <c r="F281" s="483">
        <v>43358</v>
      </c>
      <c r="G281">
        <f t="shared" si="4"/>
        <v>2018</v>
      </c>
      <c r="H281" t="s">
        <v>1193</v>
      </c>
      <c r="I281" t="s">
        <v>976</v>
      </c>
      <c r="J281" t="s">
        <v>35</v>
      </c>
      <c r="K281" t="s">
        <v>882</v>
      </c>
      <c r="L281" t="s">
        <v>2128</v>
      </c>
      <c r="M281">
        <v>4179</v>
      </c>
    </row>
    <row r="282" spans="6:13" x14ac:dyDescent="0.35">
      <c r="F282" s="483">
        <v>43269</v>
      </c>
      <c r="G282">
        <f t="shared" si="4"/>
        <v>2018</v>
      </c>
      <c r="H282" t="s">
        <v>1194</v>
      </c>
      <c r="I282" t="s">
        <v>906</v>
      </c>
      <c r="J282" t="s">
        <v>32</v>
      </c>
      <c r="K282" t="s">
        <v>907</v>
      </c>
      <c r="L282" t="s">
        <v>2132</v>
      </c>
      <c r="M282">
        <v>7771</v>
      </c>
    </row>
    <row r="283" spans="6:13" x14ac:dyDescent="0.35">
      <c r="F283" s="483">
        <v>43424</v>
      </c>
      <c r="G283">
        <f t="shared" si="4"/>
        <v>2018</v>
      </c>
      <c r="H283" t="s">
        <v>1195</v>
      </c>
      <c r="I283" t="s">
        <v>906</v>
      </c>
      <c r="J283" t="s">
        <v>34</v>
      </c>
      <c r="K283" t="s">
        <v>882</v>
      </c>
      <c r="L283" t="s">
        <v>2127</v>
      </c>
      <c r="M283">
        <v>8516</v>
      </c>
    </row>
    <row r="284" spans="6:13" x14ac:dyDescent="0.35">
      <c r="F284" s="483">
        <v>42918</v>
      </c>
      <c r="G284">
        <f t="shared" si="4"/>
        <v>2017</v>
      </c>
      <c r="H284" t="s">
        <v>1196</v>
      </c>
      <c r="I284" t="s">
        <v>885</v>
      </c>
      <c r="J284" t="s">
        <v>32</v>
      </c>
      <c r="K284" t="s">
        <v>890</v>
      </c>
      <c r="L284" t="s">
        <v>2126</v>
      </c>
      <c r="M284">
        <v>6371</v>
      </c>
    </row>
    <row r="285" spans="6:13" x14ac:dyDescent="0.35">
      <c r="F285" s="483">
        <v>43083</v>
      </c>
      <c r="G285">
        <f t="shared" si="4"/>
        <v>2017</v>
      </c>
      <c r="H285" t="s">
        <v>1197</v>
      </c>
      <c r="I285" t="s">
        <v>885</v>
      </c>
      <c r="J285" t="s">
        <v>35</v>
      </c>
      <c r="K285" t="s">
        <v>882</v>
      </c>
      <c r="L285" t="s">
        <v>2128</v>
      </c>
      <c r="M285">
        <v>4681</v>
      </c>
    </row>
    <row r="286" spans="6:13" x14ac:dyDescent="0.35">
      <c r="F286" s="483">
        <v>42900</v>
      </c>
      <c r="G286">
        <f t="shared" si="4"/>
        <v>2017</v>
      </c>
      <c r="H286" t="s">
        <v>1198</v>
      </c>
      <c r="I286" t="s">
        <v>906</v>
      </c>
      <c r="J286" t="s">
        <v>35</v>
      </c>
      <c r="K286" t="s">
        <v>890</v>
      </c>
      <c r="L286" t="s">
        <v>2133</v>
      </c>
      <c r="M286">
        <v>5274</v>
      </c>
    </row>
    <row r="287" spans="6:13" x14ac:dyDescent="0.35">
      <c r="F287" s="483">
        <v>43265</v>
      </c>
      <c r="G287">
        <f t="shared" si="4"/>
        <v>2018</v>
      </c>
      <c r="H287" t="s">
        <v>1199</v>
      </c>
      <c r="I287" t="s">
        <v>906</v>
      </c>
      <c r="J287" t="s">
        <v>37</v>
      </c>
      <c r="K287" t="s">
        <v>882</v>
      </c>
      <c r="L287" t="s">
        <v>2124</v>
      </c>
      <c r="M287">
        <v>6356</v>
      </c>
    </row>
    <row r="288" spans="6:13" x14ac:dyDescent="0.35">
      <c r="F288" s="483">
        <v>43040</v>
      </c>
      <c r="G288">
        <f t="shared" si="4"/>
        <v>2017</v>
      </c>
      <c r="H288" t="s">
        <v>1200</v>
      </c>
      <c r="I288" t="s">
        <v>906</v>
      </c>
      <c r="J288" t="s">
        <v>31</v>
      </c>
      <c r="K288" t="s">
        <v>907</v>
      </c>
      <c r="L288" t="s">
        <v>2126</v>
      </c>
      <c r="M288">
        <v>2528</v>
      </c>
    </row>
    <row r="289" spans="6:13" x14ac:dyDescent="0.35">
      <c r="F289" s="483">
        <v>43320</v>
      </c>
      <c r="G289">
        <f t="shared" si="4"/>
        <v>2018</v>
      </c>
      <c r="H289" t="s">
        <v>1201</v>
      </c>
      <c r="I289" t="s">
        <v>967</v>
      </c>
      <c r="J289" t="s">
        <v>32</v>
      </c>
      <c r="K289" t="s">
        <v>907</v>
      </c>
      <c r="L289" t="s">
        <v>2124</v>
      </c>
      <c r="M289">
        <v>7583</v>
      </c>
    </row>
    <row r="290" spans="6:13" x14ac:dyDescent="0.35">
      <c r="F290" s="483">
        <v>42985</v>
      </c>
      <c r="G290">
        <f t="shared" si="4"/>
        <v>2017</v>
      </c>
      <c r="H290" t="s">
        <v>1202</v>
      </c>
      <c r="I290" t="s">
        <v>885</v>
      </c>
      <c r="J290" t="s">
        <v>23</v>
      </c>
      <c r="K290" t="s">
        <v>907</v>
      </c>
      <c r="L290" t="s">
        <v>2129</v>
      </c>
      <c r="M290">
        <v>6335</v>
      </c>
    </row>
    <row r="291" spans="6:13" x14ac:dyDescent="0.35">
      <c r="F291" s="483">
        <v>43211</v>
      </c>
      <c r="G291">
        <f t="shared" si="4"/>
        <v>2018</v>
      </c>
      <c r="H291" t="s">
        <v>1203</v>
      </c>
      <c r="I291" t="s">
        <v>930</v>
      </c>
      <c r="J291" t="s">
        <v>37</v>
      </c>
      <c r="K291" t="s">
        <v>907</v>
      </c>
      <c r="L291" t="s">
        <v>2127</v>
      </c>
      <c r="M291">
        <v>2320</v>
      </c>
    </row>
    <row r="292" spans="6:13" x14ac:dyDescent="0.35">
      <c r="F292" s="483">
        <v>43376</v>
      </c>
      <c r="G292">
        <f t="shared" si="4"/>
        <v>2018</v>
      </c>
      <c r="H292" t="s">
        <v>1204</v>
      </c>
      <c r="I292" t="s">
        <v>885</v>
      </c>
      <c r="J292" t="s">
        <v>37</v>
      </c>
      <c r="K292" t="s">
        <v>882</v>
      </c>
      <c r="L292" t="s">
        <v>2127</v>
      </c>
      <c r="M292">
        <v>6843</v>
      </c>
    </row>
    <row r="293" spans="6:13" x14ac:dyDescent="0.35">
      <c r="F293" s="483">
        <v>42743</v>
      </c>
      <c r="G293">
        <f t="shared" si="4"/>
        <v>2017</v>
      </c>
      <c r="H293" t="s">
        <v>1205</v>
      </c>
      <c r="I293" t="s">
        <v>881</v>
      </c>
      <c r="J293" t="s">
        <v>32</v>
      </c>
      <c r="K293" t="s">
        <v>882</v>
      </c>
      <c r="L293" t="s">
        <v>2129</v>
      </c>
      <c r="M293">
        <v>1083</v>
      </c>
    </row>
    <row r="294" spans="6:13" x14ac:dyDescent="0.35">
      <c r="F294" s="483">
        <v>42934</v>
      </c>
      <c r="G294">
        <f t="shared" si="4"/>
        <v>2017</v>
      </c>
      <c r="H294" t="s">
        <v>1206</v>
      </c>
      <c r="I294" t="s">
        <v>885</v>
      </c>
      <c r="J294" t="s">
        <v>33</v>
      </c>
      <c r="K294" t="s">
        <v>890</v>
      </c>
      <c r="L294" t="s">
        <v>2130</v>
      </c>
      <c r="M294">
        <v>7415</v>
      </c>
    </row>
    <row r="295" spans="6:13" x14ac:dyDescent="0.35">
      <c r="F295" s="483">
        <v>43180</v>
      </c>
      <c r="G295">
        <f t="shared" si="4"/>
        <v>2018</v>
      </c>
      <c r="H295" t="s">
        <v>1207</v>
      </c>
      <c r="I295" t="s">
        <v>885</v>
      </c>
      <c r="J295" t="s">
        <v>30</v>
      </c>
      <c r="K295" t="s">
        <v>890</v>
      </c>
      <c r="L295" t="s">
        <v>2133</v>
      </c>
      <c r="M295">
        <v>7010</v>
      </c>
    </row>
    <row r="296" spans="6:13" x14ac:dyDescent="0.35">
      <c r="F296" s="483">
        <v>42801</v>
      </c>
      <c r="G296">
        <f t="shared" si="4"/>
        <v>2017</v>
      </c>
      <c r="H296" t="s">
        <v>1208</v>
      </c>
      <c r="I296" t="s">
        <v>1171</v>
      </c>
      <c r="J296" t="s">
        <v>30</v>
      </c>
      <c r="K296" t="s">
        <v>907</v>
      </c>
      <c r="L296" t="s">
        <v>2127</v>
      </c>
      <c r="M296">
        <v>4177</v>
      </c>
    </row>
    <row r="297" spans="6:13" x14ac:dyDescent="0.35">
      <c r="F297" s="483">
        <v>43112</v>
      </c>
      <c r="G297">
        <f t="shared" si="4"/>
        <v>2018</v>
      </c>
      <c r="H297" t="s">
        <v>1209</v>
      </c>
      <c r="I297" t="s">
        <v>1210</v>
      </c>
      <c r="J297" t="s">
        <v>32</v>
      </c>
      <c r="K297" t="s">
        <v>890</v>
      </c>
      <c r="L297" t="s">
        <v>2126</v>
      </c>
      <c r="M297">
        <v>7050</v>
      </c>
    </row>
    <row r="298" spans="6:13" x14ac:dyDescent="0.35">
      <c r="F298" s="483">
        <v>42802</v>
      </c>
      <c r="G298">
        <f t="shared" si="4"/>
        <v>2017</v>
      </c>
      <c r="H298" t="s">
        <v>1211</v>
      </c>
      <c r="I298" t="s">
        <v>881</v>
      </c>
      <c r="J298" t="s">
        <v>36</v>
      </c>
      <c r="K298" t="s">
        <v>890</v>
      </c>
      <c r="L298" t="s">
        <v>2132</v>
      </c>
      <c r="M298">
        <v>6524</v>
      </c>
    </row>
    <row r="299" spans="6:13" x14ac:dyDescent="0.35">
      <c r="F299" s="483">
        <v>42796</v>
      </c>
      <c r="G299">
        <f t="shared" si="4"/>
        <v>2017</v>
      </c>
      <c r="H299" t="s">
        <v>1212</v>
      </c>
      <c r="I299" t="s">
        <v>881</v>
      </c>
      <c r="J299" t="s">
        <v>23</v>
      </c>
      <c r="K299" t="s">
        <v>890</v>
      </c>
      <c r="L299" t="s">
        <v>2129</v>
      </c>
      <c r="M299">
        <v>7325</v>
      </c>
    </row>
    <row r="300" spans="6:13" x14ac:dyDescent="0.35">
      <c r="F300" s="483">
        <v>42857</v>
      </c>
      <c r="G300">
        <f t="shared" si="4"/>
        <v>2017</v>
      </c>
      <c r="H300" t="s">
        <v>1213</v>
      </c>
      <c r="I300" t="s">
        <v>1131</v>
      </c>
      <c r="J300" t="s">
        <v>38</v>
      </c>
      <c r="K300" t="s">
        <v>890</v>
      </c>
      <c r="L300" t="s">
        <v>2126</v>
      </c>
      <c r="M300">
        <v>4187</v>
      </c>
    </row>
    <row r="301" spans="6:13" x14ac:dyDescent="0.35">
      <c r="F301" s="483">
        <v>43450</v>
      </c>
      <c r="G301">
        <f t="shared" si="4"/>
        <v>2018</v>
      </c>
      <c r="H301" t="s">
        <v>1214</v>
      </c>
      <c r="I301" t="s">
        <v>885</v>
      </c>
      <c r="J301" t="s">
        <v>24</v>
      </c>
      <c r="K301" t="s">
        <v>890</v>
      </c>
      <c r="L301" t="s">
        <v>2125</v>
      </c>
      <c r="M301">
        <v>4979</v>
      </c>
    </row>
    <row r="302" spans="6:13" x14ac:dyDescent="0.35">
      <c r="F302" s="483">
        <v>43217</v>
      </c>
      <c r="G302">
        <f t="shared" si="4"/>
        <v>2018</v>
      </c>
      <c r="H302" t="s">
        <v>1215</v>
      </c>
      <c r="I302" t="s">
        <v>1171</v>
      </c>
      <c r="J302" t="s">
        <v>36</v>
      </c>
      <c r="K302" t="s">
        <v>882</v>
      </c>
      <c r="L302" t="s">
        <v>2126</v>
      </c>
      <c r="M302">
        <v>1154</v>
      </c>
    </row>
    <row r="303" spans="6:13" x14ac:dyDescent="0.35">
      <c r="F303" s="483">
        <v>43080</v>
      </c>
      <c r="G303">
        <f t="shared" si="4"/>
        <v>2017</v>
      </c>
      <c r="H303" t="s">
        <v>1216</v>
      </c>
      <c r="I303" t="s">
        <v>1171</v>
      </c>
      <c r="J303" t="s">
        <v>36</v>
      </c>
      <c r="K303" t="s">
        <v>2123</v>
      </c>
      <c r="L303" t="s">
        <v>2125</v>
      </c>
      <c r="M303">
        <v>7220</v>
      </c>
    </row>
    <row r="304" spans="6:13" x14ac:dyDescent="0.35">
      <c r="F304" s="483">
        <v>43323</v>
      </c>
      <c r="G304">
        <f t="shared" si="4"/>
        <v>2018</v>
      </c>
      <c r="H304" t="s">
        <v>1217</v>
      </c>
      <c r="I304" t="s">
        <v>1171</v>
      </c>
      <c r="J304" t="s">
        <v>33</v>
      </c>
      <c r="K304" t="s">
        <v>882</v>
      </c>
      <c r="L304" t="s">
        <v>2131</v>
      </c>
      <c r="M304">
        <v>1998</v>
      </c>
    </row>
    <row r="305" spans="6:13" x14ac:dyDescent="0.35">
      <c r="F305" s="483">
        <v>43373</v>
      </c>
      <c r="G305">
        <f t="shared" si="4"/>
        <v>2018</v>
      </c>
      <c r="H305" t="s">
        <v>1218</v>
      </c>
      <c r="I305" t="s">
        <v>1171</v>
      </c>
      <c r="J305" t="s">
        <v>29</v>
      </c>
      <c r="K305" t="s">
        <v>2123</v>
      </c>
      <c r="L305" t="s">
        <v>2128</v>
      </c>
      <c r="M305">
        <v>3374</v>
      </c>
    </row>
    <row r="306" spans="6:13" x14ac:dyDescent="0.35">
      <c r="F306" s="483">
        <v>43253</v>
      </c>
      <c r="G306">
        <f t="shared" si="4"/>
        <v>2018</v>
      </c>
      <c r="H306" t="s">
        <v>1219</v>
      </c>
      <c r="I306" t="s">
        <v>885</v>
      </c>
      <c r="J306" t="s">
        <v>33</v>
      </c>
      <c r="K306" t="s">
        <v>2123</v>
      </c>
      <c r="L306" t="s">
        <v>2128</v>
      </c>
      <c r="M306">
        <v>8243</v>
      </c>
    </row>
    <row r="307" spans="6:13" x14ac:dyDescent="0.35">
      <c r="F307" s="483">
        <v>43271</v>
      </c>
      <c r="G307">
        <f t="shared" si="4"/>
        <v>2018</v>
      </c>
      <c r="H307" t="s">
        <v>1220</v>
      </c>
      <c r="I307" t="s">
        <v>885</v>
      </c>
      <c r="J307" t="s">
        <v>38</v>
      </c>
      <c r="K307" t="s">
        <v>890</v>
      </c>
      <c r="L307" t="s">
        <v>2127</v>
      </c>
      <c r="M307">
        <v>1484</v>
      </c>
    </row>
    <row r="308" spans="6:13" x14ac:dyDescent="0.35">
      <c r="F308" s="483">
        <v>43286</v>
      </c>
      <c r="G308">
        <f t="shared" si="4"/>
        <v>2018</v>
      </c>
      <c r="H308" t="s">
        <v>1221</v>
      </c>
      <c r="I308" t="s">
        <v>1018</v>
      </c>
      <c r="J308" t="s">
        <v>24</v>
      </c>
      <c r="K308" t="s">
        <v>882</v>
      </c>
      <c r="L308" t="s">
        <v>2128</v>
      </c>
      <c r="M308">
        <v>8857</v>
      </c>
    </row>
    <row r="309" spans="6:13" x14ac:dyDescent="0.35">
      <c r="F309" s="483">
        <v>42889</v>
      </c>
      <c r="G309">
        <f t="shared" si="4"/>
        <v>2017</v>
      </c>
      <c r="H309" t="s">
        <v>1222</v>
      </c>
      <c r="I309" t="s">
        <v>881</v>
      </c>
      <c r="J309" t="s">
        <v>31</v>
      </c>
      <c r="K309" t="s">
        <v>890</v>
      </c>
      <c r="L309" t="s">
        <v>2133</v>
      </c>
      <c r="M309">
        <v>4577</v>
      </c>
    </row>
    <row r="310" spans="6:13" x14ac:dyDescent="0.35">
      <c r="F310" s="483">
        <v>43387</v>
      </c>
      <c r="G310">
        <f t="shared" si="4"/>
        <v>2018</v>
      </c>
      <c r="H310" t="s">
        <v>1223</v>
      </c>
      <c r="I310" t="s">
        <v>885</v>
      </c>
      <c r="J310" t="s">
        <v>38</v>
      </c>
      <c r="K310" t="s">
        <v>882</v>
      </c>
      <c r="L310" t="s">
        <v>2128</v>
      </c>
      <c r="M310">
        <v>8350</v>
      </c>
    </row>
    <row r="311" spans="6:13" x14ac:dyDescent="0.35">
      <c r="F311" s="483">
        <v>42998</v>
      </c>
      <c r="G311">
        <f t="shared" si="4"/>
        <v>2017</v>
      </c>
      <c r="H311" t="s">
        <v>1224</v>
      </c>
      <c r="I311" t="s">
        <v>976</v>
      </c>
      <c r="J311" t="s">
        <v>30</v>
      </c>
      <c r="K311" t="s">
        <v>882</v>
      </c>
      <c r="L311" t="s">
        <v>2133</v>
      </c>
      <c r="M311">
        <v>6894</v>
      </c>
    </row>
    <row r="312" spans="6:13" x14ac:dyDescent="0.35">
      <c r="F312" s="483">
        <v>43009</v>
      </c>
      <c r="G312">
        <f t="shared" si="4"/>
        <v>2017</v>
      </c>
      <c r="H312" t="s">
        <v>1225</v>
      </c>
      <c r="I312" t="s">
        <v>885</v>
      </c>
      <c r="J312" t="s">
        <v>35</v>
      </c>
      <c r="K312" t="s">
        <v>907</v>
      </c>
      <c r="L312" t="s">
        <v>2133</v>
      </c>
      <c r="M312">
        <v>5000</v>
      </c>
    </row>
    <row r="313" spans="6:13" x14ac:dyDescent="0.35">
      <c r="F313" s="483">
        <v>42895</v>
      </c>
      <c r="G313">
        <f t="shared" si="4"/>
        <v>2017</v>
      </c>
      <c r="H313" t="s">
        <v>1226</v>
      </c>
      <c r="I313" t="s">
        <v>885</v>
      </c>
      <c r="J313" t="s">
        <v>29</v>
      </c>
      <c r="K313" t="s">
        <v>882</v>
      </c>
      <c r="L313" t="s">
        <v>2127</v>
      </c>
      <c r="M313">
        <v>1585</v>
      </c>
    </row>
    <row r="314" spans="6:13" x14ac:dyDescent="0.35">
      <c r="F314" s="483">
        <v>42865</v>
      </c>
      <c r="G314">
        <f t="shared" si="4"/>
        <v>2017</v>
      </c>
      <c r="H314" t="s">
        <v>1227</v>
      </c>
      <c r="I314" t="s">
        <v>881</v>
      </c>
      <c r="J314" t="s">
        <v>36</v>
      </c>
      <c r="K314" t="s">
        <v>907</v>
      </c>
      <c r="L314" t="s">
        <v>2125</v>
      </c>
      <c r="M314">
        <v>8122</v>
      </c>
    </row>
    <row r="315" spans="6:13" x14ac:dyDescent="0.35">
      <c r="F315" s="483">
        <v>43401</v>
      </c>
      <c r="G315">
        <f t="shared" si="4"/>
        <v>2018</v>
      </c>
      <c r="H315" t="s">
        <v>1228</v>
      </c>
      <c r="I315" t="s">
        <v>917</v>
      </c>
      <c r="J315" t="s">
        <v>38</v>
      </c>
      <c r="K315" t="s">
        <v>907</v>
      </c>
      <c r="L315" t="s">
        <v>2129</v>
      </c>
      <c r="M315">
        <v>6032</v>
      </c>
    </row>
    <row r="316" spans="6:13" x14ac:dyDescent="0.35">
      <c r="F316" s="483">
        <v>43256</v>
      </c>
      <c r="G316">
        <f t="shared" si="4"/>
        <v>2018</v>
      </c>
      <c r="H316" t="s">
        <v>1229</v>
      </c>
      <c r="I316" t="s">
        <v>1183</v>
      </c>
      <c r="J316" t="s">
        <v>26</v>
      </c>
      <c r="K316" t="s">
        <v>2123</v>
      </c>
      <c r="L316" t="s">
        <v>2128</v>
      </c>
      <c r="M316">
        <v>5896</v>
      </c>
    </row>
    <row r="317" spans="6:13" x14ac:dyDescent="0.35">
      <c r="F317" s="483">
        <v>42872</v>
      </c>
      <c r="G317">
        <f t="shared" si="4"/>
        <v>2017</v>
      </c>
      <c r="H317" t="s">
        <v>1230</v>
      </c>
      <c r="I317" t="s">
        <v>881</v>
      </c>
      <c r="J317" t="s">
        <v>37</v>
      </c>
      <c r="K317" t="s">
        <v>890</v>
      </c>
      <c r="L317" t="s">
        <v>2126</v>
      </c>
      <c r="M317">
        <v>6381</v>
      </c>
    </row>
    <row r="318" spans="6:13" x14ac:dyDescent="0.35">
      <c r="F318" s="483">
        <v>43161</v>
      </c>
      <c r="G318">
        <f t="shared" si="4"/>
        <v>2018</v>
      </c>
      <c r="H318" t="s">
        <v>1231</v>
      </c>
      <c r="I318" t="s">
        <v>1022</v>
      </c>
      <c r="J318" t="s">
        <v>38</v>
      </c>
      <c r="K318" t="s">
        <v>890</v>
      </c>
      <c r="L318" t="s">
        <v>2131</v>
      </c>
      <c r="M318">
        <v>7233</v>
      </c>
    </row>
    <row r="319" spans="6:13" x14ac:dyDescent="0.35">
      <c r="F319" s="483">
        <v>43373</v>
      </c>
      <c r="G319">
        <f t="shared" si="4"/>
        <v>2018</v>
      </c>
      <c r="H319" t="s">
        <v>1232</v>
      </c>
      <c r="I319" t="s">
        <v>925</v>
      </c>
      <c r="J319" t="s">
        <v>31</v>
      </c>
      <c r="K319" t="s">
        <v>882</v>
      </c>
      <c r="L319" t="s">
        <v>2133</v>
      </c>
      <c r="M319">
        <v>5323</v>
      </c>
    </row>
    <row r="320" spans="6:13" x14ac:dyDescent="0.35">
      <c r="F320" s="483">
        <v>43204</v>
      </c>
      <c r="G320">
        <f t="shared" si="4"/>
        <v>2018</v>
      </c>
      <c r="H320" t="s">
        <v>1233</v>
      </c>
      <c r="I320" t="s">
        <v>881</v>
      </c>
      <c r="J320" t="s">
        <v>32</v>
      </c>
      <c r="K320" t="s">
        <v>907</v>
      </c>
      <c r="L320" t="s">
        <v>2129</v>
      </c>
      <c r="M320">
        <v>3901</v>
      </c>
    </row>
    <row r="321" spans="6:13" x14ac:dyDescent="0.35">
      <c r="F321" s="483">
        <v>43361</v>
      </c>
      <c r="G321">
        <f t="shared" si="4"/>
        <v>2018</v>
      </c>
      <c r="H321" t="s">
        <v>1234</v>
      </c>
      <c r="I321" t="s">
        <v>885</v>
      </c>
      <c r="J321" t="s">
        <v>28</v>
      </c>
      <c r="K321" t="s">
        <v>882</v>
      </c>
      <c r="L321" t="s">
        <v>2132</v>
      </c>
      <c r="M321">
        <v>7047</v>
      </c>
    </row>
    <row r="322" spans="6:13" x14ac:dyDescent="0.35">
      <c r="F322" s="483">
        <v>43352</v>
      </c>
      <c r="G322">
        <f t="shared" si="4"/>
        <v>2018</v>
      </c>
      <c r="H322" t="s">
        <v>1235</v>
      </c>
      <c r="I322" t="s">
        <v>906</v>
      </c>
      <c r="J322" t="s">
        <v>31</v>
      </c>
      <c r="K322" t="s">
        <v>882</v>
      </c>
      <c r="L322" t="s">
        <v>2128</v>
      </c>
      <c r="M322">
        <v>6765</v>
      </c>
    </row>
    <row r="323" spans="6:13" x14ac:dyDescent="0.35">
      <c r="F323" s="483">
        <v>42787</v>
      </c>
      <c r="G323">
        <f t="shared" si="4"/>
        <v>2017</v>
      </c>
      <c r="H323" t="s">
        <v>1236</v>
      </c>
      <c r="I323" t="s">
        <v>923</v>
      </c>
      <c r="J323" t="s">
        <v>32</v>
      </c>
      <c r="K323" t="s">
        <v>2123</v>
      </c>
      <c r="L323" t="s">
        <v>2131</v>
      </c>
      <c r="M323">
        <v>2676</v>
      </c>
    </row>
    <row r="324" spans="6:13" x14ac:dyDescent="0.35">
      <c r="F324" s="483">
        <v>43332</v>
      </c>
      <c r="G324">
        <f t="shared" si="4"/>
        <v>2018</v>
      </c>
      <c r="H324" t="s">
        <v>1237</v>
      </c>
      <c r="I324" t="s">
        <v>967</v>
      </c>
      <c r="J324" t="s">
        <v>35</v>
      </c>
      <c r="K324" t="s">
        <v>890</v>
      </c>
      <c r="L324" t="s">
        <v>2129</v>
      </c>
      <c r="M324">
        <v>3749</v>
      </c>
    </row>
    <row r="325" spans="6:13" x14ac:dyDescent="0.35">
      <c r="F325" s="483">
        <v>42864</v>
      </c>
      <c r="G325">
        <f t="shared" si="4"/>
        <v>2017</v>
      </c>
      <c r="H325" t="s">
        <v>1238</v>
      </c>
      <c r="I325" t="s">
        <v>885</v>
      </c>
      <c r="J325" t="s">
        <v>34</v>
      </c>
      <c r="K325" t="s">
        <v>890</v>
      </c>
      <c r="L325" t="s">
        <v>2133</v>
      </c>
      <c r="M325">
        <v>7602</v>
      </c>
    </row>
    <row r="326" spans="6:13" x14ac:dyDescent="0.35">
      <c r="F326" s="483">
        <v>43213</v>
      </c>
      <c r="G326">
        <f t="shared" si="4"/>
        <v>2018</v>
      </c>
      <c r="H326" t="s">
        <v>1239</v>
      </c>
      <c r="I326" t="s">
        <v>1022</v>
      </c>
      <c r="J326" t="s">
        <v>29</v>
      </c>
      <c r="K326" t="s">
        <v>907</v>
      </c>
      <c r="L326" t="s">
        <v>2133</v>
      </c>
      <c r="M326">
        <v>8147</v>
      </c>
    </row>
    <row r="327" spans="6:13" x14ac:dyDescent="0.35">
      <c r="F327" s="483">
        <v>43074</v>
      </c>
      <c r="G327">
        <f t="shared" si="4"/>
        <v>2017</v>
      </c>
      <c r="H327" t="s">
        <v>1240</v>
      </c>
      <c r="I327" t="s">
        <v>939</v>
      </c>
      <c r="J327" t="s">
        <v>31</v>
      </c>
      <c r="K327" t="s">
        <v>890</v>
      </c>
      <c r="L327" t="s">
        <v>2124</v>
      </c>
      <c r="M327">
        <v>8384</v>
      </c>
    </row>
    <row r="328" spans="6:13" x14ac:dyDescent="0.35">
      <c r="F328" s="483">
        <v>43387</v>
      </c>
      <c r="G328">
        <f t="shared" si="4"/>
        <v>2018</v>
      </c>
      <c r="H328" t="s">
        <v>1241</v>
      </c>
      <c r="I328" t="s">
        <v>987</v>
      </c>
      <c r="J328" t="s">
        <v>33</v>
      </c>
      <c r="K328" t="s">
        <v>882</v>
      </c>
      <c r="L328" t="s">
        <v>2124</v>
      </c>
      <c r="M328">
        <v>2829</v>
      </c>
    </row>
    <row r="329" spans="6:13" x14ac:dyDescent="0.35">
      <c r="F329" s="483">
        <v>43411</v>
      </c>
      <c r="G329">
        <f t="shared" si="4"/>
        <v>2018</v>
      </c>
      <c r="H329" t="s">
        <v>1242</v>
      </c>
      <c r="I329" t="s">
        <v>1022</v>
      </c>
      <c r="J329" t="s">
        <v>28</v>
      </c>
      <c r="K329" t="s">
        <v>907</v>
      </c>
      <c r="L329" t="s">
        <v>2133</v>
      </c>
      <c r="M329">
        <v>2260</v>
      </c>
    </row>
    <row r="330" spans="6:13" x14ac:dyDescent="0.35">
      <c r="F330" s="483">
        <v>42866</v>
      </c>
      <c r="G330">
        <f t="shared" ref="G330:G393" si="5">YEAR(F330)</f>
        <v>2017</v>
      </c>
      <c r="H330" t="s">
        <v>1243</v>
      </c>
      <c r="I330" t="s">
        <v>881</v>
      </c>
      <c r="J330" t="s">
        <v>36</v>
      </c>
      <c r="K330" t="s">
        <v>890</v>
      </c>
      <c r="L330" t="s">
        <v>2130</v>
      </c>
      <c r="M330">
        <v>2695</v>
      </c>
    </row>
    <row r="331" spans="6:13" x14ac:dyDescent="0.35">
      <c r="F331" s="483">
        <v>42937</v>
      </c>
      <c r="G331">
        <f t="shared" si="5"/>
        <v>2017</v>
      </c>
      <c r="H331" t="s">
        <v>1244</v>
      </c>
      <c r="I331" t="s">
        <v>885</v>
      </c>
      <c r="J331" t="s">
        <v>33</v>
      </c>
      <c r="K331" t="s">
        <v>907</v>
      </c>
      <c r="L331" t="s">
        <v>2133</v>
      </c>
      <c r="M331">
        <v>3457</v>
      </c>
    </row>
    <row r="332" spans="6:13" x14ac:dyDescent="0.35">
      <c r="F332" s="483">
        <v>42766</v>
      </c>
      <c r="G332">
        <f t="shared" si="5"/>
        <v>2017</v>
      </c>
      <c r="H332" t="s">
        <v>1245</v>
      </c>
      <c r="I332" t="s">
        <v>982</v>
      </c>
      <c r="J332" t="s">
        <v>34</v>
      </c>
      <c r="K332" t="s">
        <v>882</v>
      </c>
      <c r="L332" t="s">
        <v>2133</v>
      </c>
      <c r="M332">
        <v>6299</v>
      </c>
    </row>
    <row r="333" spans="6:13" x14ac:dyDescent="0.35">
      <c r="F333" s="483">
        <v>43172</v>
      </c>
      <c r="G333">
        <f t="shared" si="5"/>
        <v>2018</v>
      </c>
      <c r="H333" t="s">
        <v>1246</v>
      </c>
      <c r="I333" t="s">
        <v>881</v>
      </c>
      <c r="J333" t="s">
        <v>35</v>
      </c>
      <c r="K333" t="s">
        <v>890</v>
      </c>
      <c r="L333" t="s">
        <v>2129</v>
      </c>
      <c r="M333">
        <v>4532</v>
      </c>
    </row>
    <row r="334" spans="6:13" x14ac:dyDescent="0.35">
      <c r="F334" s="483">
        <v>43036</v>
      </c>
      <c r="G334">
        <f t="shared" si="5"/>
        <v>2017</v>
      </c>
      <c r="H334" t="s">
        <v>1247</v>
      </c>
      <c r="I334" t="s">
        <v>885</v>
      </c>
      <c r="J334" t="s">
        <v>36</v>
      </c>
      <c r="K334" t="s">
        <v>907</v>
      </c>
      <c r="L334" t="s">
        <v>2130</v>
      </c>
      <c r="M334">
        <v>6043</v>
      </c>
    </row>
    <row r="335" spans="6:13" x14ac:dyDescent="0.35">
      <c r="F335" s="483">
        <v>42924</v>
      </c>
      <c r="G335">
        <f t="shared" si="5"/>
        <v>2017</v>
      </c>
      <c r="H335" t="s">
        <v>1248</v>
      </c>
      <c r="I335" t="s">
        <v>881</v>
      </c>
      <c r="J335" t="s">
        <v>24</v>
      </c>
      <c r="K335" t="s">
        <v>890</v>
      </c>
      <c r="L335" t="s">
        <v>2125</v>
      </c>
      <c r="M335">
        <v>5922</v>
      </c>
    </row>
    <row r="336" spans="6:13" x14ac:dyDescent="0.35">
      <c r="F336" s="483">
        <v>43462</v>
      </c>
      <c r="G336">
        <f t="shared" si="5"/>
        <v>2018</v>
      </c>
      <c r="H336" t="s">
        <v>1249</v>
      </c>
      <c r="I336" t="s">
        <v>885</v>
      </c>
      <c r="J336" t="s">
        <v>34</v>
      </c>
      <c r="K336" t="s">
        <v>2123</v>
      </c>
      <c r="L336" t="s">
        <v>2131</v>
      </c>
      <c r="M336">
        <v>3908</v>
      </c>
    </row>
    <row r="337" spans="6:13" x14ac:dyDescent="0.35">
      <c r="F337" s="483">
        <v>43201</v>
      </c>
      <c r="G337">
        <f t="shared" si="5"/>
        <v>2018</v>
      </c>
      <c r="H337" t="s">
        <v>1250</v>
      </c>
      <c r="I337" t="s">
        <v>881</v>
      </c>
      <c r="J337" t="s">
        <v>37</v>
      </c>
      <c r="K337" t="s">
        <v>907</v>
      </c>
      <c r="L337" t="s">
        <v>2127</v>
      </c>
      <c r="M337">
        <v>1525</v>
      </c>
    </row>
    <row r="338" spans="6:13" x14ac:dyDescent="0.35">
      <c r="F338" s="483">
        <v>43278</v>
      </c>
      <c r="G338">
        <f t="shared" si="5"/>
        <v>2018</v>
      </c>
      <c r="H338" t="s">
        <v>1251</v>
      </c>
      <c r="I338" t="s">
        <v>885</v>
      </c>
      <c r="J338" t="s">
        <v>34</v>
      </c>
      <c r="K338" t="s">
        <v>882</v>
      </c>
      <c r="L338" t="s">
        <v>2127</v>
      </c>
      <c r="M338">
        <v>5526</v>
      </c>
    </row>
    <row r="339" spans="6:13" x14ac:dyDescent="0.35">
      <c r="F339" s="483">
        <v>43207</v>
      </c>
      <c r="G339">
        <f t="shared" si="5"/>
        <v>2018</v>
      </c>
      <c r="H339" t="s">
        <v>1252</v>
      </c>
      <c r="I339" t="s">
        <v>881</v>
      </c>
      <c r="J339" t="s">
        <v>24</v>
      </c>
      <c r="K339" t="s">
        <v>2123</v>
      </c>
      <c r="L339" t="s">
        <v>2128</v>
      </c>
      <c r="M339">
        <v>8605</v>
      </c>
    </row>
    <row r="340" spans="6:13" x14ac:dyDescent="0.35">
      <c r="F340" s="483">
        <v>43282</v>
      </c>
      <c r="G340">
        <f t="shared" si="5"/>
        <v>2018</v>
      </c>
      <c r="H340" t="s">
        <v>1253</v>
      </c>
      <c r="I340" t="s">
        <v>1018</v>
      </c>
      <c r="J340" t="s">
        <v>37</v>
      </c>
      <c r="K340" t="s">
        <v>890</v>
      </c>
      <c r="L340" t="s">
        <v>2127</v>
      </c>
      <c r="M340">
        <v>7723</v>
      </c>
    </row>
    <row r="341" spans="6:13" x14ac:dyDescent="0.35">
      <c r="F341" s="483">
        <v>42945</v>
      </c>
      <c r="G341">
        <f t="shared" si="5"/>
        <v>2017</v>
      </c>
      <c r="H341" t="s">
        <v>1254</v>
      </c>
      <c r="I341" t="s">
        <v>881</v>
      </c>
      <c r="J341" t="s">
        <v>34</v>
      </c>
      <c r="K341" t="s">
        <v>2123</v>
      </c>
      <c r="L341" t="s">
        <v>2124</v>
      </c>
      <c r="M341">
        <v>4302</v>
      </c>
    </row>
    <row r="342" spans="6:13" x14ac:dyDescent="0.35">
      <c r="F342" s="483">
        <v>43165</v>
      </c>
      <c r="G342">
        <f t="shared" si="5"/>
        <v>2018</v>
      </c>
      <c r="H342" t="s">
        <v>1255</v>
      </c>
      <c r="I342" t="s">
        <v>1171</v>
      </c>
      <c r="J342" t="s">
        <v>23</v>
      </c>
      <c r="K342" t="s">
        <v>890</v>
      </c>
      <c r="L342" t="s">
        <v>2132</v>
      </c>
      <c r="M342">
        <v>5425</v>
      </c>
    </row>
    <row r="343" spans="6:13" x14ac:dyDescent="0.35">
      <c r="F343" s="483">
        <v>43196</v>
      </c>
      <c r="G343">
        <f t="shared" si="5"/>
        <v>2018</v>
      </c>
      <c r="H343" t="s">
        <v>1256</v>
      </c>
      <c r="I343" t="s">
        <v>881</v>
      </c>
      <c r="J343" t="s">
        <v>24</v>
      </c>
      <c r="K343" t="s">
        <v>2123</v>
      </c>
      <c r="L343" t="s">
        <v>2131</v>
      </c>
      <c r="M343">
        <v>6288</v>
      </c>
    </row>
    <row r="344" spans="6:13" x14ac:dyDescent="0.35">
      <c r="F344" s="483">
        <v>42939</v>
      </c>
      <c r="G344">
        <f t="shared" si="5"/>
        <v>2017</v>
      </c>
      <c r="H344" t="s">
        <v>1257</v>
      </c>
      <c r="I344" t="s">
        <v>1171</v>
      </c>
      <c r="J344" t="s">
        <v>30</v>
      </c>
      <c r="K344" t="s">
        <v>907</v>
      </c>
      <c r="L344" t="s">
        <v>2127</v>
      </c>
      <c r="M344">
        <v>3997</v>
      </c>
    </row>
    <row r="345" spans="6:13" x14ac:dyDescent="0.35">
      <c r="F345" s="483">
        <v>42953</v>
      </c>
      <c r="G345">
        <f t="shared" si="5"/>
        <v>2017</v>
      </c>
      <c r="H345" t="s">
        <v>1258</v>
      </c>
      <c r="I345" t="s">
        <v>885</v>
      </c>
      <c r="J345" t="s">
        <v>33</v>
      </c>
      <c r="K345" t="s">
        <v>890</v>
      </c>
      <c r="L345" t="s">
        <v>2126</v>
      </c>
      <c r="M345">
        <v>6604</v>
      </c>
    </row>
    <row r="346" spans="6:13" x14ac:dyDescent="0.35">
      <c r="F346" s="483">
        <v>43009</v>
      </c>
      <c r="G346">
        <f t="shared" si="5"/>
        <v>2017</v>
      </c>
      <c r="H346" t="s">
        <v>1259</v>
      </c>
      <c r="I346" t="s">
        <v>881</v>
      </c>
      <c r="J346" t="s">
        <v>31</v>
      </c>
      <c r="K346" t="s">
        <v>2123</v>
      </c>
      <c r="L346" t="s">
        <v>2129</v>
      </c>
      <c r="M346">
        <v>2317</v>
      </c>
    </row>
    <row r="347" spans="6:13" x14ac:dyDescent="0.35">
      <c r="F347" s="483">
        <v>42784</v>
      </c>
      <c r="G347">
        <f t="shared" si="5"/>
        <v>2017</v>
      </c>
      <c r="H347" t="s">
        <v>1260</v>
      </c>
      <c r="I347" t="s">
        <v>881</v>
      </c>
      <c r="J347" t="s">
        <v>24</v>
      </c>
      <c r="K347" t="s">
        <v>890</v>
      </c>
      <c r="L347" t="s">
        <v>2124</v>
      </c>
      <c r="M347">
        <v>2672</v>
      </c>
    </row>
    <row r="348" spans="6:13" x14ac:dyDescent="0.35">
      <c r="F348" s="483">
        <v>43238</v>
      </c>
      <c r="G348">
        <f t="shared" si="5"/>
        <v>2018</v>
      </c>
      <c r="H348" t="s">
        <v>1261</v>
      </c>
      <c r="I348" t="s">
        <v>925</v>
      </c>
      <c r="J348" t="s">
        <v>23</v>
      </c>
      <c r="K348" t="s">
        <v>2123</v>
      </c>
      <c r="L348" t="s">
        <v>2124</v>
      </c>
      <c r="M348">
        <v>5050</v>
      </c>
    </row>
    <row r="349" spans="6:13" x14ac:dyDescent="0.35">
      <c r="F349" s="483">
        <v>42754</v>
      </c>
      <c r="G349">
        <f t="shared" si="5"/>
        <v>2017</v>
      </c>
      <c r="H349" t="s">
        <v>1262</v>
      </c>
      <c r="I349" t="s">
        <v>881</v>
      </c>
      <c r="J349" t="s">
        <v>35</v>
      </c>
      <c r="K349" t="s">
        <v>907</v>
      </c>
      <c r="L349" t="s">
        <v>2131</v>
      </c>
      <c r="M349">
        <v>4459</v>
      </c>
    </row>
    <row r="350" spans="6:13" x14ac:dyDescent="0.35">
      <c r="F350" s="483">
        <v>42772</v>
      </c>
      <c r="G350">
        <f t="shared" si="5"/>
        <v>2017</v>
      </c>
      <c r="H350" t="s">
        <v>1263</v>
      </c>
      <c r="I350" t="s">
        <v>881</v>
      </c>
      <c r="J350" t="s">
        <v>24</v>
      </c>
      <c r="K350" t="s">
        <v>882</v>
      </c>
      <c r="L350" t="s">
        <v>2132</v>
      </c>
      <c r="M350">
        <v>8671</v>
      </c>
    </row>
    <row r="351" spans="6:13" x14ac:dyDescent="0.35">
      <c r="F351" s="483">
        <v>43311</v>
      </c>
      <c r="G351">
        <f t="shared" si="5"/>
        <v>2018</v>
      </c>
      <c r="H351" t="s">
        <v>1264</v>
      </c>
      <c r="I351" t="s">
        <v>885</v>
      </c>
      <c r="J351" t="s">
        <v>35</v>
      </c>
      <c r="K351" t="s">
        <v>882</v>
      </c>
      <c r="L351" t="s">
        <v>2124</v>
      </c>
      <c r="M351">
        <v>1070</v>
      </c>
    </row>
    <row r="352" spans="6:13" x14ac:dyDescent="0.35">
      <c r="F352" s="483">
        <v>42861</v>
      </c>
      <c r="G352">
        <f t="shared" si="5"/>
        <v>2017</v>
      </c>
      <c r="H352" t="s">
        <v>1265</v>
      </c>
      <c r="I352" t="s">
        <v>885</v>
      </c>
      <c r="J352" t="s">
        <v>36</v>
      </c>
      <c r="K352" t="s">
        <v>2123</v>
      </c>
      <c r="L352" t="s">
        <v>2132</v>
      </c>
      <c r="M352">
        <v>3403</v>
      </c>
    </row>
    <row r="353" spans="6:13" x14ac:dyDescent="0.35">
      <c r="F353" s="483">
        <v>42776</v>
      </c>
      <c r="G353">
        <f t="shared" si="5"/>
        <v>2017</v>
      </c>
      <c r="H353" t="s">
        <v>1266</v>
      </c>
      <c r="I353" t="s">
        <v>991</v>
      </c>
      <c r="J353" t="s">
        <v>31</v>
      </c>
      <c r="K353" t="s">
        <v>907</v>
      </c>
      <c r="L353" t="s">
        <v>2126</v>
      </c>
      <c r="M353">
        <v>7499</v>
      </c>
    </row>
    <row r="354" spans="6:13" x14ac:dyDescent="0.35">
      <c r="F354" s="483">
        <v>43163</v>
      </c>
      <c r="G354">
        <f t="shared" si="5"/>
        <v>2018</v>
      </c>
      <c r="H354" t="s">
        <v>1267</v>
      </c>
      <c r="I354" t="s">
        <v>881</v>
      </c>
      <c r="J354" t="s">
        <v>32</v>
      </c>
      <c r="K354" t="s">
        <v>882</v>
      </c>
      <c r="L354" t="s">
        <v>2126</v>
      </c>
      <c r="M354">
        <v>1255</v>
      </c>
    </row>
    <row r="355" spans="6:13" x14ac:dyDescent="0.35">
      <c r="F355" s="483">
        <v>43125</v>
      </c>
      <c r="G355">
        <f t="shared" si="5"/>
        <v>2018</v>
      </c>
      <c r="H355" t="s">
        <v>1268</v>
      </c>
      <c r="I355" t="s">
        <v>1022</v>
      </c>
      <c r="J355" t="s">
        <v>36</v>
      </c>
      <c r="K355" t="s">
        <v>890</v>
      </c>
      <c r="L355" t="s">
        <v>2126</v>
      </c>
      <c r="M355">
        <v>5931</v>
      </c>
    </row>
    <row r="356" spans="6:13" x14ac:dyDescent="0.35">
      <c r="F356" s="483">
        <v>42783</v>
      </c>
      <c r="G356">
        <f t="shared" si="5"/>
        <v>2017</v>
      </c>
      <c r="H356" t="s">
        <v>1269</v>
      </c>
      <c r="I356" t="s">
        <v>885</v>
      </c>
      <c r="J356" t="s">
        <v>26</v>
      </c>
      <c r="K356" t="s">
        <v>2123</v>
      </c>
      <c r="L356" t="s">
        <v>2129</v>
      </c>
      <c r="M356">
        <v>3359</v>
      </c>
    </row>
    <row r="357" spans="6:13" x14ac:dyDescent="0.35">
      <c r="F357" s="483">
        <v>43316</v>
      </c>
      <c r="G357">
        <f t="shared" si="5"/>
        <v>2018</v>
      </c>
      <c r="H357" t="s">
        <v>1270</v>
      </c>
      <c r="I357" t="s">
        <v>885</v>
      </c>
      <c r="J357" t="s">
        <v>29</v>
      </c>
      <c r="K357" t="s">
        <v>2123</v>
      </c>
      <c r="L357" t="s">
        <v>2124</v>
      </c>
      <c r="M357">
        <v>5647</v>
      </c>
    </row>
    <row r="358" spans="6:13" x14ac:dyDescent="0.35">
      <c r="F358" s="483">
        <v>43057</v>
      </c>
      <c r="G358">
        <f t="shared" si="5"/>
        <v>2017</v>
      </c>
      <c r="H358" t="s">
        <v>1271</v>
      </c>
      <c r="I358" t="s">
        <v>881</v>
      </c>
      <c r="J358" t="s">
        <v>31</v>
      </c>
      <c r="K358" t="s">
        <v>890</v>
      </c>
      <c r="L358" t="s">
        <v>2132</v>
      </c>
      <c r="M358">
        <v>1069</v>
      </c>
    </row>
    <row r="359" spans="6:13" x14ac:dyDescent="0.35">
      <c r="F359" s="483">
        <v>43008</v>
      </c>
      <c r="G359">
        <f t="shared" si="5"/>
        <v>2017</v>
      </c>
      <c r="H359" t="s">
        <v>1272</v>
      </c>
      <c r="I359" t="s">
        <v>885</v>
      </c>
      <c r="J359" t="s">
        <v>24</v>
      </c>
      <c r="K359" t="s">
        <v>882</v>
      </c>
      <c r="L359" t="s">
        <v>2127</v>
      </c>
      <c r="M359">
        <v>3243</v>
      </c>
    </row>
    <row r="360" spans="6:13" x14ac:dyDescent="0.35">
      <c r="F360" s="483">
        <v>43380</v>
      </c>
      <c r="G360">
        <f t="shared" si="5"/>
        <v>2018</v>
      </c>
      <c r="H360" t="s">
        <v>1273</v>
      </c>
      <c r="I360" t="s">
        <v>957</v>
      </c>
      <c r="J360" t="s">
        <v>36</v>
      </c>
      <c r="K360" t="s">
        <v>890</v>
      </c>
      <c r="L360" t="s">
        <v>2131</v>
      </c>
      <c r="M360">
        <v>2489</v>
      </c>
    </row>
    <row r="361" spans="6:13" x14ac:dyDescent="0.35">
      <c r="F361" s="483">
        <v>43096</v>
      </c>
      <c r="G361">
        <f t="shared" si="5"/>
        <v>2017</v>
      </c>
      <c r="H361" t="s">
        <v>1274</v>
      </c>
      <c r="I361" t="s">
        <v>1028</v>
      </c>
      <c r="J361" t="s">
        <v>37</v>
      </c>
      <c r="K361" t="s">
        <v>890</v>
      </c>
      <c r="L361" t="s">
        <v>2124</v>
      </c>
      <c r="M361">
        <v>4933</v>
      </c>
    </row>
    <row r="362" spans="6:13" x14ac:dyDescent="0.35">
      <c r="F362" s="483">
        <v>43211</v>
      </c>
      <c r="G362">
        <f t="shared" si="5"/>
        <v>2018</v>
      </c>
      <c r="H362" t="s">
        <v>1275</v>
      </c>
      <c r="I362" t="s">
        <v>957</v>
      </c>
      <c r="J362" t="s">
        <v>33</v>
      </c>
      <c r="K362" t="s">
        <v>890</v>
      </c>
      <c r="L362" t="s">
        <v>2129</v>
      </c>
      <c r="M362">
        <v>7702</v>
      </c>
    </row>
    <row r="363" spans="6:13" x14ac:dyDescent="0.35">
      <c r="F363" s="483">
        <v>42746</v>
      </c>
      <c r="G363">
        <f t="shared" si="5"/>
        <v>2017</v>
      </c>
      <c r="H363" t="s">
        <v>1276</v>
      </c>
      <c r="I363" t="s">
        <v>957</v>
      </c>
      <c r="J363" t="s">
        <v>24</v>
      </c>
      <c r="K363" t="s">
        <v>907</v>
      </c>
      <c r="L363" t="s">
        <v>2133</v>
      </c>
      <c r="M363">
        <v>3684</v>
      </c>
    </row>
    <row r="364" spans="6:13" x14ac:dyDescent="0.35">
      <c r="F364" s="483">
        <v>42910</v>
      </c>
      <c r="G364">
        <f t="shared" si="5"/>
        <v>2017</v>
      </c>
      <c r="H364" t="s">
        <v>1277</v>
      </c>
      <c r="I364" t="s">
        <v>885</v>
      </c>
      <c r="J364" t="s">
        <v>23</v>
      </c>
      <c r="K364" t="s">
        <v>2123</v>
      </c>
      <c r="L364" t="s">
        <v>2126</v>
      </c>
      <c r="M364">
        <v>7527</v>
      </c>
    </row>
    <row r="365" spans="6:13" x14ac:dyDescent="0.35">
      <c r="F365" s="483">
        <v>42741</v>
      </c>
      <c r="G365">
        <f t="shared" si="5"/>
        <v>2017</v>
      </c>
      <c r="H365" t="s">
        <v>1278</v>
      </c>
      <c r="I365" t="s">
        <v>881</v>
      </c>
      <c r="J365" t="s">
        <v>36</v>
      </c>
      <c r="K365" t="s">
        <v>907</v>
      </c>
      <c r="L365" t="s">
        <v>2133</v>
      </c>
      <c r="M365">
        <v>6394</v>
      </c>
    </row>
    <row r="366" spans="6:13" x14ac:dyDescent="0.35">
      <c r="F366" s="483">
        <v>43104</v>
      </c>
      <c r="G366">
        <f t="shared" si="5"/>
        <v>2018</v>
      </c>
      <c r="H366" t="s">
        <v>1279</v>
      </c>
      <c r="I366" t="s">
        <v>932</v>
      </c>
      <c r="J366" t="s">
        <v>26</v>
      </c>
      <c r="K366" t="s">
        <v>890</v>
      </c>
      <c r="L366" t="s">
        <v>2130</v>
      </c>
      <c r="M366">
        <v>6420</v>
      </c>
    </row>
    <row r="367" spans="6:13" x14ac:dyDescent="0.35">
      <c r="F367" s="483">
        <v>42828</v>
      </c>
      <c r="G367">
        <f t="shared" si="5"/>
        <v>2017</v>
      </c>
      <c r="H367" t="s">
        <v>1280</v>
      </c>
      <c r="I367" t="s">
        <v>957</v>
      </c>
      <c r="J367" t="s">
        <v>37</v>
      </c>
      <c r="K367" t="s">
        <v>907</v>
      </c>
      <c r="L367" t="s">
        <v>2131</v>
      </c>
      <c r="M367">
        <v>8837</v>
      </c>
    </row>
    <row r="368" spans="6:13" x14ac:dyDescent="0.35">
      <c r="F368" s="483">
        <v>43367</v>
      </c>
      <c r="G368">
        <f t="shared" si="5"/>
        <v>2018</v>
      </c>
      <c r="H368" t="s">
        <v>1281</v>
      </c>
      <c r="I368" t="s">
        <v>957</v>
      </c>
      <c r="J368" t="s">
        <v>31</v>
      </c>
      <c r="K368" t="s">
        <v>2123</v>
      </c>
      <c r="L368" t="s">
        <v>2129</v>
      </c>
      <c r="M368">
        <v>2392</v>
      </c>
    </row>
    <row r="369" spans="6:13" x14ac:dyDescent="0.35">
      <c r="F369" s="483">
        <v>42948</v>
      </c>
      <c r="G369">
        <f t="shared" si="5"/>
        <v>2017</v>
      </c>
      <c r="H369" t="s">
        <v>1282</v>
      </c>
      <c r="I369" t="s">
        <v>957</v>
      </c>
      <c r="J369" t="s">
        <v>23</v>
      </c>
      <c r="K369" t="s">
        <v>907</v>
      </c>
      <c r="L369" t="s">
        <v>2125</v>
      </c>
      <c r="M369">
        <v>5879</v>
      </c>
    </row>
    <row r="370" spans="6:13" x14ac:dyDescent="0.35">
      <c r="F370" s="483">
        <v>43203</v>
      </c>
      <c r="G370">
        <f t="shared" si="5"/>
        <v>2018</v>
      </c>
      <c r="H370" t="s">
        <v>1283</v>
      </c>
      <c r="I370" t="s">
        <v>906</v>
      </c>
      <c r="J370" t="s">
        <v>33</v>
      </c>
      <c r="K370" t="s">
        <v>890</v>
      </c>
      <c r="L370" t="s">
        <v>2127</v>
      </c>
      <c r="M370">
        <v>5889</v>
      </c>
    </row>
    <row r="371" spans="6:13" x14ac:dyDescent="0.35">
      <c r="F371" s="483">
        <v>43285</v>
      </c>
      <c r="G371">
        <f t="shared" si="5"/>
        <v>2018</v>
      </c>
      <c r="H371" t="s">
        <v>1284</v>
      </c>
      <c r="I371" t="s">
        <v>987</v>
      </c>
      <c r="J371" t="s">
        <v>26</v>
      </c>
      <c r="K371" t="s">
        <v>2123</v>
      </c>
      <c r="L371" t="s">
        <v>2133</v>
      </c>
      <c r="M371">
        <v>4212</v>
      </c>
    </row>
    <row r="372" spans="6:13" x14ac:dyDescent="0.35">
      <c r="F372" s="483">
        <v>43149</v>
      </c>
      <c r="G372">
        <f t="shared" si="5"/>
        <v>2018</v>
      </c>
      <c r="H372" t="s">
        <v>1285</v>
      </c>
      <c r="I372" t="s">
        <v>885</v>
      </c>
      <c r="J372" t="s">
        <v>34</v>
      </c>
      <c r="K372" t="s">
        <v>907</v>
      </c>
      <c r="L372" t="s">
        <v>2132</v>
      </c>
      <c r="M372">
        <v>3191</v>
      </c>
    </row>
    <row r="373" spans="6:13" x14ac:dyDescent="0.35">
      <c r="F373" s="483">
        <v>42938</v>
      </c>
      <c r="G373">
        <f t="shared" si="5"/>
        <v>2017</v>
      </c>
      <c r="H373" t="s">
        <v>1286</v>
      </c>
      <c r="I373" t="s">
        <v>939</v>
      </c>
      <c r="J373" t="s">
        <v>32</v>
      </c>
      <c r="K373" t="s">
        <v>882</v>
      </c>
      <c r="L373" t="s">
        <v>2126</v>
      </c>
      <c r="M373">
        <v>4698</v>
      </c>
    </row>
    <row r="374" spans="6:13" x14ac:dyDescent="0.35">
      <c r="F374" s="483">
        <v>43332</v>
      </c>
      <c r="G374">
        <f t="shared" si="5"/>
        <v>2018</v>
      </c>
      <c r="H374" t="s">
        <v>1287</v>
      </c>
      <c r="I374" t="s">
        <v>881</v>
      </c>
      <c r="J374" t="s">
        <v>32</v>
      </c>
      <c r="K374" t="s">
        <v>882</v>
      </c>
      <c r="L374" t="s">
        <v>2131</v>
      </c>
      <c r="M374">
        <v>7325</v>
      </c>
    </row>
    <row r="375" spans="6:13" x14ac:dyDescent="0.35">
      <c r="F375" s="483">
        <v>42976</v>
      </c>
      <c r="G375">
        <f t="shared" si="5"/>
        <v>2017</v>
      </c>
      <c r="H375" t="s">
        <v>1288</v>
      </c>
      <c r="I375" t="s">
        <v>885</v>
      </c>
      <c r="J375" t="s">
        <v>38</v>
      </c>
      <c r="K375" t="s">
        <v>907</v>
      </c>
      <c r="L375" t="s">
        <v>2125</v>
      </c>
      <c r="M375">
        <v>8686</v>
      </c>
    </row>
    <row r="376" spans="6:13" x14ac:dyDescent="0.35">
      <c r="F376" s="483">
        <v>42899</v>
      </c>
      <c r="G376">
        <f t="shared" si="5"/>
        <v>2017</v>
      </c>
      <c r="H376" t="s">
        <v>1289</v>
      </c>
      <c r="I376" t="s">
        <v>1016</v>
      </c>
      <c r="J376" t="s">
        <v>28</v>
      </c>
      <c r="K376" t="s">
        <v>890</v>
      </c>
      <c r="L376" t="s">
        <v>2126</v>
      </c>
      <c r="M376">
        <v>6417</v>
      </c>
    </row>
    <row r="377" spans="6:13" x14ac:dyDescent="0.35">
      <c r="F377" s="483">
        <v>43101</v>
      </c>
      <c r="G377">
        <f t="shared" si="5"/>
        <v>2018</v>
      </c>
      <c r="H377" t="s">
        <v>1290</v>
      </c>
      <c r="I377" t="s">
        <v>885</v>
      </c>
      <c r="J377" t="s">
        <v>23</v>
      </c>
      <c r="K377" t="s">
        <v>907</v>
      </c>
      <c r="L377" t="s">
        <v>2130</v>
      </c>
      <c r="M377">
        <v>8669</v>
      </c>
    </row>
    <row r="378" spans="6:13" x14ac:dyDescent="0.35">
      <c r="F378" s="483">
        <v>43163</v>
      </c>
      <c r="G378">
        <f t="shared" si="5"/>
        <v>2018</v>
      </c>
      <c r="H378" t="s">
        <v>1291</v>
      </c>
      <c r="I378" t="s">
        <v>906</v>
      </c>
      <c r="J378" t="s">
        <v>24</v>
      </c>
      <c r="K378" t="s">
        <v>2123</v>
      </c>
      <c r="L378" t="s">
        <v>2125</v>
      </c>
      <c r="M378">
        <v>5712</v>
      </c>
    </row>
    <row r="379" spans="6:13" x14ac:dyDescent="0.35">
      <c r="F379" s="483">
        <v>42934</v>
      </c>
      <c r="G379">
        <f t="shared" si="5"/>
        <v>2017</v>
      </c>
      <c r="H379" t="s">
        <v>1292</v>
      </c>
      <c r="I379" t="s">
        <v>881</v>
      </c>
      <c r="J379" t="s">
        <v>32</v>
      </c>
      <c r="K379" t="s">
        <v>907</v>
      </c>
      <c r="L379" t="s">
        <v>2124</v>
      </c>
      <c r="M379">
        <v>2939</v>
      </c>
    </row>
    <row r="380" spans="6:13" x14ac:dyDescent="0.35">
      <c r="F380" s="483">
        <v>43094</v>
      </c>
      <c r="G380">
        <f t="shared" si="5"/>
        <v>2017</v>
      </c>
      <c r="H380" t="s">
        <v>1293</v>
      </c>
      <c r="I380" t="s">
        <v>881</v>
      </c>
      <c r="J380" t="s">
        <v>36</v>
      </c>
      <c r="K380" t="s">
        <v>2123</v>
      </c>
      <c r="L380" t="s">
        <v>2128</v>
      </c>
      <c r="M380">
        <v>4728</v>
      </c>
    </row>
    <row r="381" spans="6:13" x14ac:dyDescent="0.35">
      <c r="F381" s="483">
        <v>43429</v>
      </c>
      <c r="G381">
        <f t="shared" si="5"/>
        <v>2018</v>
      </c>
      <c r="H381" t="s">
        <v>1294</v>
      </c>
      <c r="I381" t="s">
        <v>906</v>
      </c>
      <c r="J381" t="s">
        <v>26</v>
      </c>
      <c r="K381" t="s">
        <v>907</v>
      </c>
      <c r="L381" t="s">
        <v>2133</v>
      </c>
      <c r="M381">
        <v>8721</v>
      </c>
    </row>
    <row r="382" spans="6:13" x14ac:dyDescent="0.35">
      <c r="F382" s="483">
        <v>42874</v>
      </c>
      <c r="G382">
        <f t="shared" si="5"/>
        <v>2017</v>
      </c>
      <c r="H382" t="s">
        <v>1295</v>
      </c>
      <c r="I382" t="s">
        <v>881</v>
      </c>
      <c r="J382" t="s">
        <v>36</v>
      </c>
      <c r="K382" t="s">
        <v>2123</v>
      </c>
      <c r="L382" t="s">
        <v>2124</v>
      </c>
      <c r="M382">
        <v>3102</v>
      </c>
    </row>
    <row r="383" spans="6:13" x14ac:dyDescent="0.35">
      <c r="F383" s="483">
        <v>43410</v>
      </c>
      <c r="G383">
        <f t="shared" si="5"/>
        <v>2018</v>
      </c>
      <c r="H383" t="s">
        <v>1296</v>
      </c>
      <c r="I383" t="s">
        <v>881</v>
      </c>
      <c r="J383" t="s">
        <v>35</v>
      </c>
      <c r="K383" t="s">
        <v>882</v>
      </c>
      <c r="L383" t="s">
        <v>2125</v>
      </c>
      <c r="M383">
        <v>5976</v>
      </c>
    </row>
    <row r="384" spans="6:13" x14ac:dyDescent="0.35">
      <c r="F384" s="483">
        <v>43241</v>
      </c>
      <c r="G384">
        <f t="shared" si="5"/>
        <v>2018</v>
      </c>
      <c r="H384" t="s">
        <v>1297</v>
      </c>
      <c r="I384" t="s">
        <v>881</v>
      </c>
      <c r="J384" t="s">
        <v>24</v>
      </c>
      <c r="K384" t="s">
        <v>2123</v>
      </c>
      <c r="L384" t="s">
        <v>2127</v>
      </c>
      <c r="M384">
        <v>7553</v>
      </c>
    </row>
    <row r="385" spans="6:13" x14ac:dyDescent="0.35">
      <c r="F385" s="483">
        <v>42808</v>
      </c>
      <c r="G385">
        <f t="shared" si="5"/>
        <v>2017</v>
      </c>
      <c r="H385" t="s">
        <v>1298</v>
      </c>
      <c r="I385" t="s">
        <v>881</v>
      </c>
      <c r="J385" t="s">
        <v>36</v>
      </c>
      <c r="K385" t="s">
        <v>890</v>
      </c>
      <c r="L385" t="s">
        <v>2128</v>
      </c>
      <c r="M385">
        <v>5954</v>
      </c>
    </row>
    <row r="386" spans="6:13" x14ac:dyDescent="0.35">
      <c r="F386" s="483">
        <v>43425</v>
      </c>
      <c r="G386">
        <f t="shared" si="5"/>
        <v>2018</v>
      </c>
      <c r="H386" t="s">
        <v>1299</v>
      </c>
      <c r="I386" t="s">
        <v>881</v>
      </c>
      <c r="J386" t="s">
        <v>34</v>
      </c>
      <c r="K386" t="s">
        <v>907</v>
      </c>
      <c r="L386" t="s">
        <v>2129</v>
      </c>
      <c r="M386">
        <v>6059</v>
      </c>
    </row>
    <row r="387" spans="6:13" x14ac:dyDescent="0.35">
      <c r="F387" s="483">
        <v>43390</v>
      </c>
      <c r="G387">
        <f t="shared" si="5"/>
        <v>2018</v>
      </c>
      <c r="H387" t="s">
        <v>1300</v>
      </c>
      <c r="I387" t="s">
        <v>881</v>
      </c>
      <c r="J387" t="s">
        <v>36</v>
      </c>
      <c r="K387" t="s">
        <v>890</v>
      </c>
      <c r="L387" t="s">
        <v>2124</v>
      </c>
      <c r="M387">
        <v>2597</v>
      </c>
    </row>
    <row r="388" spans="6:13" x14ac:dyDescent="0.35">
      <c r="F388" s="483">
        <v>42913</v>
      </c>
      <c r="G388">
        <f t="shared" si="5"/>
        <v>2017</v>
      </c>
      <c r="H388" t="s">
        <v>1301</v>
      </c>
      <c r="I388" t="s">
        <v>885</v>
      </c>
      <c r="J388" t="s">
        <v>35</v>
      </c>
      <c r="K388" t="s">
        <v>2123</v>
      </c>
      <c r="L388" t="s">
        <v>2124</v>
      </c>
      <c r="M388">
        <v>2303</v>
      </c>
    </row>
    <row r="389" spans="6:13" x14ac:dyDescent="0.35">
      <c r="F389" s="483">
        <v>42933</v>
      </c>
      <c r="G389">
        <f t="shared" si="5"/>
        <v>2017</v>
      </c>
      <c r="H389" t="s">
        <v>1302</v>
      </c>
      <c r="I389" t="s">
        <v>1028</v>
      </c>
      <c r="J389" t="s">
        <v>29</v>
      </c>
      <c r="K389" t="s">
        <v>890</v>
      </c>
      <c r="L389" t="s">
        <v>2130</v>
      </c>
      <c r="M389">
        <v>5377</v>
      </c>
    </row>
    <row r="390" spans="6:13" x14ac:dyDescent="0.35">
      <c r="F390" s="483">
        <v>43319</v>
      </c>
      <c r="G390">
        <f t="shared" si="5"/>
        <v>2018</v>
      </c>
      <c r="H390" t="s">
        <v>1303</v>
      </c>
      <c r="I390" t="s">
        <v>881</v>
      </c>
      <c r="J390" t="s">
        <v>31</v>
      </c>
      <c r="K390" t="s">
        <v>882</v>
      </c>
      <c r="L390" t="s">
        <v>2128</v>
      </c>
      <c r="M390">
        <v>2733</v>
      </c>
    </row>
    <row r="391" spans="6:13" x14ac:dyDescent="0.35">
      <c r="F391" s="483">
        <v>42812</v>
      </c>
      <c r="G391">
        <f t="shared" si="5"/>
        <v>2017</v>
      </c>
      <c r="H391" t="s">
        <v>1304</v>
      </c>
      <c r="I391" t="s">
        <v>881</v>
      </c>
      <c r="J391" t="s">
        <v>26</v>
      </c>
      <c r="K391" t="s">
        <v>2123</v>
      </c>
      <c r="L391" t="s">
        <v>2124</v>
      </c>
      <c r="M391">
        <v>3795</v>
      </c>
    </row>
    <row r="392" spans="6:13" x14ac:dyDescent="0.35">
      <c r="F392" s="483">
        <v>43286</v>
      </c>
      <c r="G392">
        <f t="shared" si="5"/>
        <v>2018</v>
      </c>
      <c r="H392" t="s">
        <v>1305</v>
      </c>
      <c r="I392" t="s">
        <v>881</v>
      </c>
      <c r="J392" t="s">
        <v>32</v>
      </c>
      <c r="K392" t="s">
        <v>907</v>
      </c>
      <c r="L392" t="s">
        <v>2128</v>
      </c>
      <c r="M392">
        <v>3140</v>
      </c>
    </row>
    <row r="393" spans="6:13" x14ac:dyDescent="0.35">
      <c r="F393" s="483">
        <v>43366</v>
      </c>
      <c r="G393">
        <f t="shared" si="5"/>
        <v>2018</v>
      </c>
      <c r="H393" t="s">
        <v>1306</v>
      </c>
      <c r="I393" t="s">
        <v>881</v>
      </c>
      <c r="J393" t="s">
        <v>26</v>
      </c>
      <c r="K393" t="s">
        <v>890</v>
      </c>
      <c r="L393" t="s">
        <v>2126</v>
      </c>
      <c r="M393">
        <v>1603</v>
      </c>
    </row>
    <row r="394" spans="6:13" x14ac:dyDescent="0.35">
      <c r="F394" s="483">
        <v>43410</v>
      </c>
      <c r="G394">
        <f t="shared" ref="G394:G457" si="6">YEAR(F394)</f>
        <v>2018</v>
      </c>
      <c r="H394" t="s">
        <v>1307</v>
      </c>
      <c r="I394" t="s">
        <v>885</v>
      </c>
      <c r="J394" t="s">
        <v>26</v>
      </c>
      <c r="K394" t="s">
        <v>907</v>
      </c>
      <c r="L394" t="s">
        <v>2124</v>
      </c>
      <c r="M394">
        <v>8560</v>
      </c>
    </row>
    <row r="395" spans="6:13" x14ac:dyDescent="0.35">
      <c r="F395" s="483">
        <v>43269</v>
      </c>
      <c r="G395">
        <f t="shared" si="6"/>
        <v>2018</v>
      </c>
      <c r="H395" t="s">
        <v>1308</v>
      </c>
      <c r="I395" t="s">
        <v>881</v>
      </c>
      <c r="J395" t="s">
        <v>26</v>
      </c>
      <c r="K395" t="s">
        <v>882</v>
      </c>
      <c r="L395" t="s">
        <v>2129</v>
      </c>
      <c r="M395">
        <v>2092</v>
      </c>
    </row>
    <row r="396" spans="6:13" x14ac:dyDescent="0.35">
      <c r="F396" s="483">
        <v>43207</v>
      </c>
      <c r="G396">
        <f t="shared" si="6"/>
        <v>2018</v>
      </c>
      <c r="H396" t="s">
        <v>1309</v>
      </c>
      <c r="I396" t="s">
        <v>881</v>
      </c>
      <c r="J396" t="s">
        <v>34</v>
      </c>
      <c r="K396" t="s">
        <v>907</v>
      </c>
      <c r="L396" t="s">
        <v>2127</v>
      </c>
      <c r="M396">
        <v>3483</v>
      </c>
    </row>
    <row r="397" spans="6:13" x14ac:dyDescent="0.35">
      <c r="F397" s="483">
        <v>42930</v>
      </c>
      <c r="G397">
        <f t="shared" si="6"/>
        <v>2017</v>
      </c>
      <c r="H397" t="s">
        <v>1310</v>
      </c>
      <c r="I397" t="s">
        <v>881</v>
      </c>
      <c r="J397" t="s">
        <v>30</v>
      </c>
      <c r="K397" t="s">
        <v>882</v>
      </c>
      <c r="L397" t="s">
        <v>2125</v>
      </c>
      <c r="M397">
        <v>1309</v>
      </c>
    </row>
    <row r="398" spans="6:13" x14ac:dyDescent="0.35">
      <c r="F398" s="483">
        <v>42741</v>
      </c>
      <c r="G398">
        <f t="shared" si="6"/>
        <v>2017</v>
      </c>
      <c r="H398" t="s">
        <v>1311</v>
      </c>
      <c r="I398" t="s">
        <v>881</v>
      </c>
      <c r="J398" t="s">
        <v>30</v>
      </c>
      <c r="K398" t="s">
        <v>907</v>
      </c>
      <c r="L398" t="s">
        <v>2124</v>
      </c>
      <c r="M398">
        <v>1574</v>
      </c>
    </row>
    <row r="399" spans="6:13" x14ac:dyDescent="0.35">
      <c r="F399" s="483">
        <v>42764</v>
      </c>
      <c r="G399">
        <f t="shared" si="6"/>
        <v>2017</v>
      </c>
      <c r="H399" t="s">
        <v>1312</v>
      </c>
      <c r="I399" t="s">
        <v>881</v>
      </c>
      <c r="J399" t="s">
        <v>28</v>
      </c>
      <c r="K399" t="s">
        <v>890</v>
      </c>
      <c r="L399" t="s">
        <v>2128</v>
      </c>
      <c r="M399">
        <v>8277</v>
      </c>
    </row>
    <row r="400" spans="6:13" x14ac:dyDescent="0.35">
      <c r="F400" s="483">
        <v>42971</v>
      </c>
      <c r="G400">
        <f t="shared" si="6"/>
        <v>2017</v>
      </c>
      <c r="H400" t="s">
        <v>1313</v>
      </c>
      <c r="I400" t="s">
        <v>885</v>
      </c>
      <c r="J400" t="s">
        <v>28</v>
      </c>
      <c r="K400" t="s">
        <v>907</v>
      </c>
      <c r="L400" t="s">
        <v>2130</v>
      </c>
      <c r="M400">
        <v>1652</v>
      </c>
    </row>
    <row r="401" spans="6:13" x14ac:dyDescent="0.35">
      <c r="F401" s="483">
        <v>43426</v>
      </c>
      <c r="G401">
        <f t="shared" si="6"/>
        <v>2018</v>
      </c>
      <c r="H401" t="s">
        <v>1314</v>
      </c>
      <c r="I401" t="s">
        <v>987</v>
      </c>
      <c r="J401" t="s">
        <v>38</v>
      </c>
      <c r="K401" t="s">
        <v>907</v>
      </c>
      <c r="L401" t="s">
        <v>2124</v>
      </c>
      <c r="M401">
        <v>4736</v>
      </c>
    </row>
    <row r="402" spans="6:13" x14ac:dyDescent="0.35">
      <c r="F402" s="483">
        <v>43132</v>
      </c>
      <c r="G402">
        <f t="shared" si="6"/>
        <v>2018</v>
      </c>
      <c r="H402" t="s">
        <v>1315</v>
      </c>
      <c r="I402" t="s">
        <v>881</v>
      </c>
      <c r="J402" t="s">
        <v>37</v>
      </c>
      <c r="K402" t="s">
        <v>2123</v>
      </c>
      <c r="L402" t="s">
        <v>2132</v>
      </c>
      <c r="M402">
        <v>4489</v>
      </c>
    </row>
    <row r="403" spans="6:13" x14ac:dyDescent="0.35">
      <c r="F403" s="483">
        <v>42768</v>
      </c>
      <c r="G403">
        <f t="shared" si="6"/>
        <v>2017</v>
      </c>
      <c r="H403" t="s">
        <v>1316</v>
      </c>
      <c r="I403" t="s">
        <v>881</v>
      </c>
      <c r="J403" t="s">
        <v>29</v>
      </c>
      <c r="K403" t="s">
        <v>907</v>
      </c>
      <c r="L403" t="s">
        <v>2128</v>
      </c>
      <c r="M403">
        <v>8953</v>
      </c>
    </row>
    <row r="404" spans="6:13" x14ac:dyDescent="0.35">
      <c r="F404" s="483">
        <v>43351</v>
      </c>
      <c r="G404">
        <f t="shared" si="6"/>
        <v>2018</v>
      </c>
      <c r="H404" t="s">
        <v>1317</v>
      </c>
      <c r="I404" t="s">
        <v>881</v>
      </c>
      <c r="J404" t="s">
        <v>35</v>
      </c>
      <c r="K404" t="s">
        <v>882</v>
      </c>
      <c r="L404" t="s">
        <v>2125</v>
      </c>
      <c r="M404">
        <v>8885</v>
      </c>
    </row>
    <row r="405" spans="6:13" x14ac:dyDescent="0.35">
      <c r="F405" s="483">
        <v>42763</v>
      </c>
      <c r="G405">
        <f t="shared" si="6"/>
        <v>2017</v>
      </c>
      <c r="H405" t="s">
        <v>1318</v>
      </c>
      <c r="I405" t="s">
        <v>881</v>
      </c>
      <c r="J405" t="s">
        <v>37</v>
      </c>
      <c r="K405" t="s">
        <v>907</v>
      </c>
      <c r="L405" t="s">
        <v>2129</v>
      </c>
      <c r="M405">
        <v>1309</v>
      </c>
    </row>
    <row r="406" spans="6:13" x14ac:dyDescent="0.35">
      <c r="F406" s="483">
        <v>42958</v>
      </c>
      <c r="G406">
        <f t="shared" si="6"/>
        <v>2017</v>
      </c>
      <c r="H406" t="s">
        <v>1319</v>
      </c>
      <c r="I406" t="s">
        <v>881</v>
      </c>
      <c r="J406" t="s">
        <v>33</v>
      </c>
      <c r="K406" t="s">
        <v>890</v>
      </c>
      <c r="L406" t="s">
        <v>2127</v>
      </c>
      <c r="M406">
        <v>8578</v>
      </c>
    </row>
    <row r="407" spans="6:13" x14ac:dyDescent="0.35">
      <c r="F407" s="483">
        <v>43144</v>
      </c>
      <c r="G407">
        <f t="shared" si="6"/>
        <v>2018</v>
      </c>
      <c r="H407" t="s">
        <v>1320</v>
      </c>
      <c r="I407" t="s">
        <v>881</v>
      </c>
      <c r="J407" t="s">
        <v>37</v>
      </c>
      <c r="K407" t="s">
        <v>882</v>
      </c>
      <c r="L407" t="s">
        <v>2127</v>
      </c>
      <c r="M407">
        <v>6012</v>
      </c>
    </row>
    <row r="408" spans="6:13" x14ac:dyDescent="0.35">
      <c r="F408" s="483">
        <v>42941</v>
      </c>
      <c r="G408">
        <f t="shared" si="6"/>
        <v>2017</v>
      </c>
      <c r="H408" t="s">
        <v>1321</v>
      </c>
      <c r="I408" t="s">
        <v>885</v>
      </c>
      <c r="J408" t="s">
        <v>38</v>
      </c>
      <c r="K408" t="s">
        <v>2123</v>
      </c>
      <c r="L408" t="s">
        <v>2133</v>
      </c>
      <c r="M408">
        <v>5543</v>
      </c>
    </row>
    <row r="409" spans="6:13" x14ac:dyDescent="0.35">
      <c r="F409" s="483">
        <v>43397</v>
      </c>
      <c r="G409">
        <f t="shared" si="6"/>
        <v>2018</v>
      </c>
      <c r="H409" t="s">
        <v>1322</v>
      </c>
      <c r="I409" t="s">
        <v>912</v>
      </c>
      <c r="J409" t="s">
        <v>35</v>
      </c>
      <c r="K409" t="s">
        <v>890</v>
      </c>
      <c r="L409" t="s">
        <v>2128</v>
      </c>
      <c r="M409">
        <v>1768</v>
      </c>
    </row>
    <row r="410" spans="6:13" x14ac:dyDescent="0.35">
      <c r="F410" s="483">
        <v>43148</v>
      </c>
      <c r="G410">
        <f t="shared" si="6"/>
        <v>2018</v>
      </c>
      <c r="H410" t="s">
        <v>1323</v>
      </c>
      <c r="I410" t="s">
        <v>930</v>
      </c>
      <c r="J410" t="s">
        <v>28</v>
      </c>
      <c r="K410" t="s">
        <v>2123</v>
      </c>
      <c r="L410" t="s">
        <v>2125</v>
      </c>
      <c r="M410">
        <v>2772</v>
      </c>
    </row>
    <row r="411" spans="6:13" x14ac:dyDescent="0.35">
      <c r="F411" s="483">
        <v>43409</v>
      </c>
      <c r="G411">
        <f t="shared" si="6"/>
        <v>2018</v>
      </c>
      <c r="H411" t="s">
        <v>1324</v>
      </c>
      <c r="I411" t="s">
        <v>925</v>
      </c>
      <c r="J411" t="s">
        <v>38</v>
      </c>
      <c r="K411" t="s">
        <v>2123</v>
      </c>
      <c r="L411" t="s">
        <v>2131</v>
      </c>
      <c r="M411">
        <v>5342</v>
      </c>
    </row>
    <row r="412" spans="6:13" x14ac:dyDescent="0.35">
      <c r="F412" s="483">
        <v>42872</v>
      </c>
      <c r="G412">
        <f t="shared" si="6"/>
        <v>2017</v>
      </c>
      <c r="H412" t="s">
        <v>1325</v>
      </c>
      <c r="I412" t="s">
        <v>1016</v>
      </c>
      <c r="J412" t="s">
        <v>34</v>
      </c>
      <c r="K412" t="s">
        <v>882</v>
      </c>
      <c r="L412" t="s">
        <v>2129</v>
      </c>
      <c r="M412">
        <v>2469</v>
      </c>
    </row>
    <row r="413" spans="6:13" x14ac:dyDescent="0.35">
      <c r="F413" s="483">
        <v>43225</v>
      </c>
      <c r="G413">
        <f t="shared" si="6"/>
        <v>2018</v>
      </c>
      <c r="H413" t="s">
        <v>1326</v>
      </c>
      <c r="I413" t="s">
        <v>1131</v>
      </c>
      <c r="J413" t="s">
        <v>31</v>
      </c>
      <c r="K413" t="s">
        <v>890</v>
      </c>
      <c r="L413" t="s">
        <v>2124</v>
      </c>
      <c r="M413">
        <v>3515</v>
      </c>
    </row>
    <row r="414" spans="6:13" x14ac:dyDescent="0.35">
      <c r="F414" s="483">
        <v>43295</v>
      </c>
      <c r="G414">
        <f t="shared" si="6"/>
        <v>2018</v>
      </c>
      <c r="H414" t="s">
        <v>1327</v>
      </c>
      <c r="I414" t="s">
        <v>917</v>
      </c>
      <c r="J414" t="s">
        <v>34</v>
      </c>
      <c r="K414" t="s">
        <v>882</v>
      </c>
      <c r="L414" t="s">
        <v>2125</v>
      </c>
      <c r="M414">
        <v>5276</v>
      </c>
    </row>
    <row r="415" spans="6:13" x14ac:dyDescent="0.35">
      <c r="F415" s="483">
        <v>42909</v>
      </c>
      <c r="G415">
        <f t="shared" si="6"/>
        <v>2017</v>
      </c>
      <c r="H415" t="s">
        <v>1328</v>
      </c>
      <c r="I415" t="s">
        <v>885</v>
      </c>
      <c r="J415" t="s">
        <v>26</v>
      </c>
      <c r="K415" t="s">
        <v>882</v>
      </c>
      <c r="L415" t="s">
        <v>2126</v>
      </c>
      <c r="M415">
        <v>6597</v>
      </c>
    </row>
    <row r="416" spans="6:13" x14ac:dyDescent="0.35">
      <c r="F416" s="483">
        <v>42780</v>
      </c>
      <c r="G416">
        <f t="shared" si="6"/>
        <v>2017</v>
      </c>
      <c r="H416" t="s">
        <v>1329</v>
      </c>
      <c r="I416" t="s">
        <v>957</v>
      </c>
      <c r="J416" t="s">
        <v>28</v>
      </c>
      <c r="K416" t="s">
        <v>907</v>
      </c>
      <c r="L416" t="s">
        <v>2132</v>
      </c>
      <c r="M416">
        <v>4919</v>
      </c>
    </row>
    <row r="417" spans="6:13" x14ac:dyDescent="0.35">
      <c r="F417" s="483">
        <v>42988</v>
      </c>
      <c r="G417">
        <f t="shared" si="6"/>
        <v>2017</v>
      </c>
      <c r="H417" t="s">
        <v>1330</v>
      </c>
      <c r="I417" t="s">
        <v>881</v>
      </c>
      <c r="J417" t="s">
        <v>36</v>
      </c>
      <c r="K417" t="s">
        <v>882</v>
      </c>
      <c r="L417" t="s">
        <v>2133</v>
      </c>
      <c r="M417">
        <v>5501</v>
      </c>
    </row>
    <row r="418" spans="6:13" x14ac:dyDescent="0.35">
      <c r="F418" s="483">
        <v>42928</v>
      </c>
      <c r="G418">
        <f t="shared" si="6"/>
        <v>2017</v>
      </c>
      <c r="H418" t="s">
        <v>1331</v>
      </c>
      <c r="I418" t="s">
        <v>957</v>
      </c>
      <c r="J418" t="s">
        <v>23</v>
      </c>
      <c r="K418" t="s">
        <v>907</v>
      </c>
      <c r="L418" t="s">
        <v>2124</v>
      </c>
      <c r="M418">
        <v>1932</v>
      </c>
    </row>
    <row r="419" spans="6:13" x14ac:dyDescent="0.35">
      <c r="F419" s="483">
        <v>42832</v>
      </c>
      <c r="G419">
        <f t="shared" si="6"/>
        <v>2017</v>
      </c>
      <c r="H419" t="s">
        <v>1332</v>
      </c>
      <c r="I419" t="s">
        <v>957</v>
      </c>
      <c r="J419" t="s">
        <v>34</v>
      </c>
      <c r="K419" t="s">
        <v>882</v>
      </c>
      <c r="L419" t="s">
        <v>2124</v>
      </c>
      <c r="M419">
        <v>1929</v>
      </c>
    </row>
    <row r="420" spans="6:13" x14ac:dyDescent="0.35">
      <c r="F420" s="483">
        <v>42922</v>
      </c>
      <c r="G420">
        <f t="shared" si="6"/>
        <v>2017</v>
      </c>
      <c r="H420" t="s">
        <v>1333</v>
      </c>
      <c r="I420" t="s">
        <v>957</v>
      </c>
      <c r="J420" t="s">
        <v>30</v>
      </c>
      <c r="K420" t="s">
        <v>890</v>
      </c>
      <c r="L420" t="s">
        <v>2128</v>
      </c>
      <c r="M420">
        <v>8754</v>
      </c>
    </row>
    <row r="421" spans="6:13" x14ac:dyDescent="0.35">
      <c r="F421" s="483">
        <v>43056</v>
      </c>
      <c r="G421">
        <f t="shared" si="6"/>
        <v>2017</v>
      </c>
      <c r="H421" t="s">
        <v>1334</v>
      </c>
      <c r="I421" t="s">
        <v>881</v>
      </c>
      <c r="J421" t="s">
        <v>33</v>
      </c>
      <c r="K421" t="s">
        <v>890</v>
      </c>
      <c r="L421" t="s">
        <v>2133</v>
      </c>
      <c r="M421">
        <v>8491</v>
      </c>
    </row>
    <row r="422" spans="6:13" x14ac:dyDescent="0.35">
      <c r="F422" s="483">
        <v>42797</v>
      </c>
      <c r="G422">
        <f t="shared" si="6"/>
        <v>2017</v>
      </c>
      <c r="H422" t="s">
        <v>1335</v>
      </c>
      <c r="I422" t="s">
        <v>906</v>
      </c>
      <c r="J422" t="s">
        <v>28</v>
      </c>
      <c r="K422" t="s">
        <v>890</v>
      </c>
      <c r="L422" t="s">
        <v>2133</v>
      </c>
      <c r="M422">
        <v>8914</v>
      </c>
    </row>
    <row r="423" spans="6:13" x14ac:dyDescent="0.35">
      <c r="F423" s="483">
        <v>43446</v>
      </c>
      <c r="G423">
        <f t="shared" si="6"/>
        <v>2018</v>
      </c>
      <c r="H423" t="s">
        <v>1336</v>
      </c>
      <c r="I423" t="s">
        <v>881</v>
      </c>
      <c r="J423" t="s">
        <v>28</v>
      </c>
      <c r="K423" t="s">
        <v>907</v>
      </c>
      <c r="L423" t="s">
        <v>2128</v>
      </c>
      <c r="M423">
        <v>6906</v>
      </c>
    </row>
    <row r="424" spans="6:13" x14ac:dyDescent="0.35">
      <c r="F424" s="483">
        <v>42812</v>
      </c>
      <c r="G424">
        <f t="shared" si="6"/>
        <v>2017</v>
      </c>
      <c r="H424" t="s">
        <v>1337</v>
      </c>
      <c r="I424" t="s">
        <v>987</v>
      </c>
      <c r="J424" t="s">
        <v>24</v>
      </c>
      <c r="K424" t="s">
        <v>890</v>
      </c>
      <c r="L424" t="s">
        <v>2125</v>
      </c>
      <c r="M424">
        <v>5780</v>
      </c>
    </row>
    <row r="425" spans="6:13" x14ac:dyDescent="0.35">
      <c r="F425" s="483">
        <v>42850</v>
      </c>
      <c r="G425">
        <f t="shared" si="6"/>
        <v>2017</v>
      </c>
      <c r="H425" t="s">
        <v>1338</v>
      </c>
      <c r="I425" t="s">
        <v>967</v>
      </c>
      <c r="J425" t="s">
        <v>23</v>
      </c>
      <c r="K425" t="s">
        <v>907</v>
      </c>
      <c r="L425" t="s">
        <v>2126</v>
      </c>
      <c r="M425">
        <v>4671</v>
      </c>
    </row>
    <row r="426" spans="6:13" x14ac:dyDescent="0.35">
      <c r="F426" s="483">
        <v>43179</v>
      </c>
      <c r="G426">
        <f t="shared" si="6"/>
        <v>2018</v>
      </c>
      <c r="H426" t="s">
        <v>1339</v>
      </c>
      <c r="I426" t="s">
        <v>893</v>
      </c>
      <c r="J426" t="s">
        <v>32</v>
      </c>
      <c r="K426" t="s">
        <v>882</v>
      </c>
      <c r="L426" t="s">
        <v>2125</v>
      </c>
      <c r="M426">
        <v>8748</v>
      </c>
    </row>
    <row r="427" spans="6:13" x14ac:dyDescent="0.35">
      <c r="F427" s="483">
        <v>43068</v>
      </c>
      <c r="G427">
        <f t="shared" si="6"/>
        <v>2017</v>
      </c>
      <c r="H427" t="s">
        <v>1340</v>
      </c>
      <c r="I427" t="s">
        <v>881</v>
      </c>
      <c r="J427" t="s">
        <v>29</v>
      </c>
      <c r="K427" t="s">
        <v>882</v>
      </c>
      <c r="L427" t="s">
        <v>2133</v>
      </c>
      <c r="M427">
        <v>3177</v>
      </c>
    </row>
    <row r="428" spans="6:13" x14ac:dyDescent="0.35">
      <c r="F428" s="483">
        <v>42885</v>
      </c>
      <c r="G428">
        <f t="shared" si="6"/>
        <v>2017</v>
      </c>
      <c r="H428" t="s">
        <v>1341</v>
      </c>
      <c r="I428" t="s">
        <v>957</v>
      </c>
      <c r="J428" t="s">
        <v>24</v>
      </c>
      <c r="K428" t="s">
        <v>890</v>
      </c>
      <c r="L428" t="s">
        <v>2127</v>
      </c>
      <c r="M428">
        <v>6477</v>
      </c>
    </row>
    <row r="429" spans="6:13" x14ac:dyDescent="0.35">
      <c r="F429" s="483">
        <v>42848</v>
      </c>
      <c r="G429">
        <f t="shared" si="6"/>
        <v>2017</v>
      </c>
      <c r="H429" t="s">
        <v>1342</v>
      </c>
      <c r="I429" t="s">
        <v>957</v>
      </c>
      <c r="J429" t="s">
        <v>24</v>
      </c>
      <c r="K429" t="s">
        <v>890</v>
      </c>
      <c r="L429" t="s">
        <v>2125</v>
      </c>
      <c r="M429">
        <v>4744</v>
      </c>
    </row>
    <row r="430" spans="6:13" x14ac:dyDescent="0.35">
      <c r="F430" s="483">
        <v>43440</v>
      </c>
      <c r="G430">
        <f t="shared" si="6"/>
        <v>2018</v>
      </c>
      <c r="H430" t="s">
        <v>1343</v>
      </c>
      <c r="I430" t="s">
        <v>957</v>
      </c>
      <c r="J430" t="s">
        <v>26</v>
      </c>
      <c r="K430" t="s">
        <v>907</v>
      </c>
      <c r="L430" t="s">
        <v>2132</v>
      </c>
      <c r="M430">
        <v>7679</v>
      </c>
    </row>
    <row r="431" spans="6:13" x14ac:dyDescent="0.35">
      <c r="F431" s="483">
        <v>43204</v>
      </c>
      <c r="G431">
        <f t="shared" si="6"/>
        <v>2018</v>
      </c>
      <c r="H431" t="s">
        <v>1344</v>
      </c>
      <c r="I431" t="s">
        <v>885</v>
      </c>
      <c r="J431" t="s">
        <v>30</v>
      </c>
      <c r="K431" t="s">
        <v>882</v>
      </c>
      <c r="L431" t="s">
        <v>2131</v>
      </c>
      <c r="M431">
        <v>4288</v>
      </c>
    </row>
    <row r="432" spans="6:13" x14ac:dyDescent="0.35">
      <c r="F432" s="483">
        <v>42808</v>
      </c>
      <c r="G432">
        <f t="shared" si="6"/>
        <v>2017</v>
      </c>
      <c r="H432" t="s">
        <v>1345</v>
      </c>
      <c r="I432" t="s">
        <v>885</v>
      </c>
      <c r="J432" t="s">
        <v>38</v>
      </c>
      <c r="K432" t="s">
        <v>882</v>
      </c>
      <c r="L432" t="s">
        <v>2129</v>
      </c>
      <c r="M432">
        <v>4501</v>
      </c>
    </row>
    <row r="433" spans="6:13" x14ac:dyDescent="0.35">
      <c r="F433" s="483">
        <v>42948</v>
      </c>
      <c r="G433">
        <f t="shared" si="6"/>
        <v>2017</v>
      </c>
      <c r="H433" t="s">
        <v>1346</v>
      </c>
      <c r="I433" t="s">
        <v>1016</v>
      </c>
      <c r="J433" t="s">
        <v>38</v>
      </c>
      <c r="K433" t="s">
        <v>907</v>
      </c>
      <c r="L433" t="s">
        <v>2124</v>
      </c>
      <c r="M433">
        <v>7062</v>
      </c>
    </row>
    <row r="434" spans="6:13" x14ac:dyDescent="0.35">
      <c r="F434" s="483">
        <v>42917</v>
      </c>
      <c r="G434">
        <f t="shared" si="6"/>
        <v>2017</v>
      </c>
      <c r="H434" t="s">
        <v>1347</v>
      </c>
      <c r="I434" t="s">
        <v>885</v>
      </c>
      <c r="J434" t="s">
        <v>28</v>
      </c>
      <c r="K434" t="s">
        <v>907</v>
      </c>
      <c r="L434" t="s">
        <v>2126</v>
      </c>
      <c r="M434">
        <v>7108</v>
      </c>
    </row>
    <row r="435" spans="6:13" x14ac:dyDescent="0.35">
      <c r="F435" s="483">
        <v>43338</v>
      </c>
      <c r="G435">
        <f t="shared" si="6"/>
        <v>2018</v>
      </c>
      <c r="H435" t="s">
        <v>1348</v>
      </c>
      <c r="I435" t="s">
        <v>1028</v>
      </c>
      <c r="J435" t="s">
        <v>28</v>
      </c>
      <c r="K435" t="s">
        <v>882</v>
      </c>
      <c r="L435" t="s">
        <v>2130</v>
      </c>
      <c r="M435">
        <v>4515</v>
      </c>
    </row>
    <row r="436" spans="6:13" x14ac:dyDescent="0.35">
      <c r="F436" s="483">
        <v>43070</v>
      </c>
      <c r="G436">
        <f t="shared" si="6"/>
        <v>2017</v>
      </c>
      <c r="H436" t="s">
        <v>1349</v>
      </c>
      <c r="I436" t="s">
        <v>881</v>
      </c>
      <c r="J436" t="s">
        <v>28</v>
      </c>
      <c r="K436" t="s">
        <v>882</v>
      </c>
      <c r="L436" t="s">
        <v>2131</v>
      </c>
      <c r="M436">
        <v>8312</v>
      </c>
    </row>
    <row r="437" spans="6:13" x14ac:dyDescent="0.35">
      <c r="F437" s="483">
        <v>42931</v>
      </c>
      <c r="G437">
        <f t="shared" si="6"/>
        <v>2017</v>
      </c>
      <c r="H437" t="s">
        <v>1350</v>
      </c>
      <c r="I437" t="s">
        <v>912</v>
      </c>
      <c r="J437" t="s">
        <v>31</v>
      </c>
      <c r="K437" t="s">
        <v>882</v>
      </c>
      <c r="L437" t="s">
        <v>2127</v>
      </c>
      <c r="M437">
        <v>4088</v>
      </c>
    </row>
    <row r="438" spans="6:13" x14ac:dyDescent="0.35">
      <c r="F438" s="483">
        <v>43376</v>
      </c>
      <c r="G438">
        <f t="shared" si="6"/>
        <v>2018</v>
      </c>
      <c r="H438" t="s">
        <v>1351</v>
      </c>
      <c r="I438" t="s">
        <v>885</v>
      </c>
      <c r="J438" t="s">
        <v>30</v>
      </c>
      <c r="K438" t="s">
        <v>882</v>
      </c>
      <c r="L438" t="s">
        <v>2125</v>
      </c>
      <c r="M438">
        <v>2132</v>
      </c>
    </row>
    <row r="439" spans="6:13" x14ac:dyDescent="0.35">
      <c r="F439" s="483">
        <v>43088</v>
      </c>
      <c r="G439">
        <f t="shared" si="6"/>
        <v>2017</v>
      </c>
      <c r="H439" t="s">
        <v>1352</v>
      </c>
      <c r="I439" t="s">
        <v>1028</v>
      </c>
      <c r="J439" t="s">
        <v>24</v>
      </c>
      <c r="K439" t="s">
        <v>907</v>
      </c>
      <c r="L439" t="s">
        <v>2131</v>
      </c>
      <c r="M439">
        <v>1254</v>
      </c>
    </row>
    <row r="440" spans="6:13" x14ac:dyDescent="0.35">
      <c r="F440" s="483">
        <v>43408</v>
      </c>
      <c r="G440">
        <f t="shared" si="6"/>
        <v>2018</v>
      </c>
      <c r="H440" t="s">
        <v>1353</v>
      </c>
      <c r="I440" t="s">
        <v>885</v>
      </c>
      <c r="J440" t="s">
        <v>37</v>
      </c>
      <c r="K440" t="s">
        <v>2123</v>
      </c>
      <c r="L440" t="s">
        <v>2133</v>
      </c>
      <c r="M440">
        <v>2600</v>
      </c>
    </row>
    <row r="441" spans="6:13" x14ac:dyDescent="0.35">
      <c r="F441" s="483">
        <v>43423</v>
      </c>
      <c r="G441">
        <f t="shared" si="6"/>
        <v>2018</v>
      </c>
      <c r="H441" t="s">
        <v>1354</v>
      </c>
      <c r="I441" t="s">
        <v>885</v>
      </c>
      <c r="J441" t="s">
        <v>28</v>
      </c>
      <c r="K441" t="s">
        <v>2123</v>
      </c>
      <c r="L441" t="s">
        <v>2128</v>
      </c>
      <c r="M441">
        <v>7180</v>
      </c>
    </row>
    <row r="442" spans="6:13" x14ac:dyDescent="0.35">
      <c r="F442" s="483">
        <v>43329</v>
      </c>
      <c r="G442">
        <f t="shared" si="6"/>
        <v>2018</v>
      </c>
      <c r="H442" t="s">
        <v>1355</v>
      </c>
      <c r="I442" t="s">
        <v>932</v>
      </c>
      <c r="J442" t="s">
        <v>30</v>
      </c>
      <c r="K442" t="s">
        <v>890</v>
      </c>
      <c r="L442" t="s">
        <v>2127</v>
      </c>
      <c r="M442">
        <v>2881</v>
      </c>
    </row>
    <row r="443" spans="6:13" x14ac:dyDescent="0.35">
      <c r="F443" s="483">
        <v>43208</v>
      </c>
      <c r="G443">
        <f t="shared" si="6"/>
        <v>2018</v>
      </c>
      <c r="H443" t="s">
        <v>1356</v>
      </c>
      <c r="I443" t="s">
        <v>885</v>
      </c>
      <c r="J443" t="s">
        <v>30</v>
      </c>
      <c r="K443" t="s">
        <v>2123</v>
      </c>
      <c r="L443" t="s">
        <v>2126</v>
      </c>
      <c r="M443">
        <v>4099</v>
      </c>
    </row>
    <row r="444" spans="6:13" x14ac:dyDescent="0.35">
      <c r="F444" s="483">
        <v>43310</v>
      </c>
      <c r="G444">
        <f t="shared" si="6"/>
        <v>2018</v>
      </c>
      <c r="H444" t="s">
        <v>1357</v>
      </c>
      <c r="I444" t="s">
        <v>885</v>
      </c>
      <c r="J444" t="s">
        <v>32</v>
      </c>
      <c r="K444" t="s">
        <v>882</v>
      </c>
      <c r="L444" t="s">
        <v>2126</v>
      </c>
      <c r="M444">
        <v>7574</v>
      </c>
    </row>
    <row r="445" spans="6:13" x14ac:dyDescent="0.35">
      <c r="F445" s="483">
        <v>42741</v>
      </c>
      <c r="G445">
        <f t="shared" si="6"/>
        <v>2017</v>
      </c>
      <c r="H445" t="s">
        <v>1358</v>
      </c>
      <c r="I445" t="s">
        <v>885</v>
      </c>
      <c r="J445" t="s">
        <v>31</v>
      </c>
      <c r="K445" t="s">
        <v>890</v>
      </c>
      <c r="L445" t="s">
        <v>2129</v>
      </c>
      <c r="M445">
        <v>2762</v>
      </c>
    </row>
    <row r="446" spans="6:13" x14ac:dyDescent="0.35">
      <c r="F446" s="483">
        <v>43086</v>
      </c>
      <c r="G446">
        <f t="shared" si="6"/>
        <v>2017</v>
      </c>
      <c r="H446" t="s">
        <v>1359</v>
      </c>
      <c r="I446" t="s">
        <v>885</v>
      </c>
      <c r="J446" t="s">
        <v>35</v>
      </c>
      <c r="K446" t="s">
        <v>882</v>
      </c>
      <c r="L446" t="s">
        <v>2132</v>
      </c>
      <c r="M446">
        <v>6884</v>
      </c>
    </row>
    <row r="447" spans="6:13" x14ac:dyDescent="0.35">
      <c r="F447" s="483">
        <v>42873</v>
      </c>
      <c r="G447">
        <f t="shared" si="6"/>
        <v>2017</v>
      </c>
      <c r="H447" t="s">
        <v>1360</v>
      </c>
      <c r="I447" t="s">
        <v>895</v>
      </c>
      <c r="J447" t="s">
        <v>28</v>
      </c>
      <c r="K447" t="s">
        <v>890</v>
      </c>
      <c r="L447" t="s">
        <v>2124</v>
      </c>
      <c r="M447">
        <v>7252</v>
      </c>
    </row>
    <row r="448" spans="6:13" x14ac:dyDescent="0.35">
      <c r="F448" s="483">
        <v>43129</v>
      </c>
      <c r="G448">
        <f t="shared" si="6"/>
        <v>2018</v>
      </c>
      <c r="H448" t="s">
        <v>1361</v>
      </c>
      <c r="I448" t="s">
        <v>906</v>
      </c>
      <c r="J448" t="s">
        <v>29</v>
      </c>
      <c r="K448" t="s">
        <v>2123</v>
      </c>
      <c r="L448" t="s">
        <v>2126</v>
      </c>
      <c r="M448">
        <v>6672</v>
      </c>
    </row>
    <row r="449" spans="6:13" x14ac:dyDescent="0.35">
      <c r="F449" s="483">
        <v>43239</v>
      </c>
      <c r="G449">
        <f t="shared" si="6"/>
        <v>2018</v>
      </c>
      <c r="H449" t="s">
        <v>1362</v>
      </c>
      <c r="I449" t="s">
        <v>932</v>
      </c>
      <c r="J449" t="s">
        <v>26</v>
      </c>
      <c r="K449" t="s">
        <v>2123</v>
      </c>
      <c r="L449" t="s">
        <v>2125</v>
      </c>
      <c r="M449">
        <v>1829</v>
      </c>
    </row>
    <row r="450" spans="6:13" x14ac:dyDescent="0.35">
      <c r="F450" s="483">
        <v>43307</v>
      </c>
      <c r="G450">
        <f t="shared" si="6"/>
        <v>2018</v>
      </c>
      <c r="H450" t="s">
        <v>1363</v>
      </c>
      <c r="I450" t="s">
        <v>885</v>
      </c>
      <c r="J450" t="s">
        <v>33</v>
      </c>
      <c r="K450" t="s">
        <v>890</v>
      </c>
      <c r="L450" t="s">
        <v>2133</v>
      </c>
      <c r="M450">
        <v>4084</v>
      </c>
    </row>
    <row r="451" spans="6:13" x14ac:dyDescent="0.35">
      <c r="F451" s="483">
        <v>43176</v>
      </c>
      <c r="G451">
        <f t="shared" si="6"/>
        <v>2018</v>
      </c>
      <c r="H451" t="s">
        <v>1364</v>
      </c>
      <c r="I451" t="s">
        <v>881</v>
      </c>
      <c r="J451" t="s">
        <v>28</v>
      </c>
      <c r="K451" t="s">
        <v>907</v>
      </c>
      <c r="L451" t="s">
        <v>2128</v>
      </c>
      <c r="M451">
        <v>1577</v>
      </c>
    </row>
    <row r="452" spans="6:13" x14ac:dyDescent="0.35">
      <c r="F452" s="483">
        <v>43024</v>
      </c>
      <c r="G452">
        <f t="shared" si="6"/>
        <v>2017</v>
      </c>
      <c r="H452" t="s">
        <v>1365</v>
      </c>
      <c r="I452" t="s">
        <v>881</v>
      </c>
      <c r="J452" t="s">
        <v>36</v>
      </c>
      <c r="K452" t="s">
        <v>907</v>
      </c>
      <c r="L452" t="s">
        <v>2126</v>
      </c>
      <c r="M452">
        <v>3476</v>
      </c>
    </row>
    <row r="453" spans="6:13" x14ac:dyDescent="0.35">
      <c r="F453" s="483">
        <v>42851</v>
      </c>
      <c r="G453">
        <f t="shared" si="6"/>
        <v>2017</v>
      </c>
      <c r="H453" t="s">
        <v>1366</v>
      </c>
      <c r="I453" t="s">
        <v>881</v>
      </c>
      <c r="J453" t="s">
        <v>38</v>
      </c>
      <c r="K453" t="s">
        <v>882</v>
      </c>
      <c r="L453" t="s">
        <v>2126</v>
      </c>
      <c r="M453">
        <v>3603</v>
      </c>
    </row>
    <row r="454" spans="6:13" x14ac:dyDescent="0.35">
      <c r="F454" s="483">
        <v>42878</v>
      </c>
      <c r="G454">
        <f t="shared" si="6"/>
        <v>2017</v>
      </c>
      <c r="H454" t="s">
        <v>1367</v>
      </c>
      <c r="I454" t="s">
        <v>881</v>
      </c>
      <c r="J454" t="s">
        <v>26</v>
      </c>
      <c r="K454" t="s">
        <v>2123</v>
      </c>
      <c r="L454" t="s">
        <v>2126</v>
      </c>
      <c r="M454">
        <v>4092</v>
      </c>
    </row>
    <row r="455" spans="6:13" x14ac:dyDescent="0.35">
      <c r="F455" s="483">
        <v>43101</v>
      </c>
      <c r="G455">
        <f t="shared" si="6"/>
        <v>2018</v>
      </c>
      <c r="H455" t="s">
        <v>1368</v>
      </c>
      <c r="I455" t="s">
        <v>881</v>
      </c>
      <c r="J455" t="s">
        <v>32</v>
      </c>
      <c r="K455" t="s">
        <v>890</v>
      </c>
      <c r="L455" t="s">
        <v>2126</v>
      </c>
      <c r="M455">
        <v>7677</v>
      </c>
    </row>
    <row r="456" spans="6:13" x14ac:dyDescent="0.35">
      <c r="F456" s="483">
        <v>42960</v>
      </c>
      <c r="G456">
        <f t="shared" si="6"/>
        <v>2017</v>
      </c>
      <c r="H456" t="s">
        <v>1369</v>
      </c>
      <c r="I456" t="s">
        <v>885</v>
      </c>
      <c r="J456" t="s">
        <v>31</v>
      </c>
      <c r="K456" t="s">
        <v>2123</v>
      </c>
      <c r="L456" t="s">
        <v>2132</v>
      </c>
      <c r="M456">
        <v>5305</v>
      </c>
    </row>
    <row r="457" spans="6:13" x14ac:dyDescent="0.35">
      <c r="F457" s="483">
        <v>42914</v>
      </c>
      <c r="G457">
        <f t="shared" si="6"/>
        <v>2017</v>
      </c>
      <c r="H457" t="s">
        <v>1370</v>
      </c>
      <c r="I457" t="s">
        <v>982</v>
      </c>
      <c r="J457" t="s">
        <v>35</v>
      </c>
      <c r="K457" t="s">
        <v>907</v>
      </c>
      <c r="L457" t="s">
        <v>2129</v>
      </c>
      <c r="M457">
        <v>4308</v>
      </c>
    </row>
    <row r="458" spans="6:13" x14ac:dyDescent="0.35">
      <c r="F458" s="483">
        <v>43275</v>
      </c>
      <c r="G458">
        <f t="shared" ref="G458:G521" si="7">YEAR(F458)</f>
        <v>2018</v>
      </c>
      <c r="H458" t="s">
        <v>1371</v>
      </c>
      <c r="I458" t="s">
        <v>976</v>
      </c>
      <c r="J458" t="s">
        <v>26</v>
      </c>
      <c r="K458" t="s">
        <v>907</v>
      </c>
      <c r="L458" t="s">
        <v>2132</v>
      </c>
      <c r="M458">
        <v>6694</v>
      </c>
    </row>
    <row r="459" spans="6:13" x14ac:dyDescent="0.35">
      <c r="F459" s="483">
        <v>43072</v>
      </c>
      <c r="G459">
        <f t="shared" si="7"/>
        <v>2017</v>
      </c>
      <c r="H459" t="s">
        <v>1372</v>
      </c>
      <c r="I459" t="s">
        <v>1183</v>
      </c>
      <c r="J459" t="s">
        <v>30</v>
      </c>
      <c r="K459" t="s">
        <v>2123</v>
      </c>
      <c r="L459" t="s">
        <v>2127</v>
      </c>
      <c r="M459">
        <v>1947</v>
      </c>
    </row>
    <row r="460" spans="6:13" x14ac:dyDescent="0.35">
      <c r="F460" s="483">
        <v>43133</v>
      </c>
      <c r="G460">
        <f t="shared" si="7"/>
        <v>2018</v>
      </c>
      <c r="H460" t="s">
        <v>1373</v>
      </c>
      <c r="I460" t="s">
        <v>885</v>
      </c>
      <c r="J460" t="s">
        <v>29</v>
      </c>
      <c r="K460" t="s">
        <v>2123</v>
      </c>
      <c r="L460" t="s">
        <v>2130</v>
      </c>
      <c r="M460">
        <v>6488</v>
      </c>
    </row>
    <row r="461" spans="6:13" x14ac:dyDescent="0.35">
      <c r="F461" s="483">
        <v>42987</v>
      </c>
      <c r="G461">
        <f t="shared" si="7"/>
        <v>2017</v>
      </c>
      <c r="H461" t="s">
        <v>1374</v>
      </c>
      <c r="I461" t="s">
        <v>917</v>
      </c>
      <c r="J461" t="s">
        <v>36</v>
      </c>
      <c r="K461" t="s">
        <v>882</v>
      </c>
      <c r="L461" t="s">
        <v>2132</v>
      </c>
      <c r="M461">
        <v>6517</v>
      </c>
    </row>
    <row r="462" spans="6:13" x14ac:dyDescent="0.35">
      <c r="F462" s="483">
        <v>43162</v>
      </c>
      <c r="G462">
        <f t="shared" si="7"/>
        <v>2018</v>
      </c>
      <c r="H462" t="s">
        <v>1375</v>
      </c>
      <c r="I462" t="s">
        <v>991</v>
      </c>
      <c r="J462" t="s">
        <v>23</v>
      </c>
      <c r="K462" t="s">
        <v>890</v>
      </c>
      <c r="L462" t="s">
        <v>2131</v>
      </c>
      <c r="M462">
        <v>4093</v>
      </c>
    </row>
    <row r="463" spans="6:13" x14ac:dyDescent="0.35">
      <c r="F463" s="483">
        <v>43329</v>
      </c>
      <c r="G463">
        <f t="shared" si="7"/>
        <v>2018</v>
      </c>
      <c r="H463" t="s">
        <v>1376</v>
      </c>
      <c r="I463" t="s">
        <v>885</v>
      </c>
      <c r="J463" t="s">
        <v>34</v>
      </c>
      <c r="K463" t="s">
        <v>907</v>
      </c>
      <c r="L463" t="s">
        <v>2132</v>
      </c>
      <c r="M463">
        <v>6255</v>
      </c>
    </row>
    <row r="464" spans="6:13" x14ac:dyDescent="0.35">
      <c r="F464" s="483">
        <v>43073</v>
      </c>
      <c r="G464">
        <f t="shared" si="7"/>
        <v>2017</v>
      </c>
      <c r="H464" t="s">
        <v>1377</v>
      </c>
      <c r="I464" t="s">
        <v>991</v>
      </c>
      <c r="J464" t="s">
        <v>29</v>
      </c>
      <c r="K464" t="s">
        <v>907</v>
      </c>
      <c r="L464" t="s">
        <v>2127</v>
      </c>
      <c r="M464">
        <v>8480</v>
      </c>
    </row>
    <row r="465" spans="6:13" x14ac:dyDescent="0.35">
      <c r="F465" s="483">
        <v>42890</v>
      </c>
      <c r="G465">
        <f t="shared" si="7"/>
        <v>2017</v>
      </c>
      <c r="H465" t="s">
        <v>1378</v>
      </c>
      <c r="I465" t="s">
        <v>906</v>
      </c>
      <c r="J465" t="s">
        <v>30</v>
      </c>
      <c r="K465" t="s">
        <v>890</v>
      </c>
      <c r="L465" t="s">
        <v>2127</v>
      </c>
      <c r="M465">
        <v>1141</v>
      </c>
    </row>
    <row r="466" spans="6:13" x14ac:dyDescent="0.35">
      <c r="F466" s="483">
        <v>43140</v>
      </c>
      <c r="G466">
        <f t="shared" si="7"/>
        <v>2018</v>
      </c>
      <c r="H466" t="s">
        <v>1379</v>
      </c>
      <c r="I466" t="s">
        <v>906</v>
      </c>
      <c r="J466" t="s">
        <v>32</v>
      </c>
      <c r="K466" t="s">
        <v>882</v>
      </c>
      <c r="L466" t="s">
        <v>2131</v>
      </c>
      <c r="M466">
        <v>8585</v>
      </c>
    </row>
    <row r="467" spans="6:13" x14ac:dyDescent="0.35">
      <c r="F467" s="483">
        <v>42951</v>
      </c>
      <c r="G467">
        <f t="shared" si="7"/>
        <v>2017</v>
      </c>
      <c r="H467" t="s">
        <v>1380</v>
      </c>
      <c r="I467" t="s">
        <v>906</v>
      </c>
      <c r="J467" t="s">
        <v>26</v>
      </c>
      <c r="K467" t="s">
        <v>890</v>
      </c>
      <c r="L467" t="s">
        <v>2131</v>
      </c>
      <c r="M467">
        <v>8560</v>
      </c>
    </row>
    <row r="468" spans="6:13" x14ac:dyDescent="0.35">
      <c r="F468" s="483">
        <v>43224</v>
      </c>
      <c r="G468">
        <f t="shared" si="7"/>
        <v>2018</v>
      </c>
      <c r="H468" t="s">
        <v>1381</v>
      </c>
      <c r="I468" t="s">
        <v>885</v>
      </c>
      <c r="J468" t="s">
        <v>29</v>
      </c>
      <c r="K468" t="s">
        <v>2123</v>
      </c>
      <c r="L468" t="s">
        <v>2130</v>
      </c>
      <c r="M468">
        <v>6439</v>
      </c>
    </row>
    <row r="469" spans="6:13" x14ac:dyDescent="0.35">
      <c r="F469" s="483">
        <v>42792</v>
      </c>
      <c r="G469">
        <f t="shared" si="7"/>
        <v>2017</v>
      </c>
      <c r="H469" t="s">
        <v>1382</v>
      </c>
      <c r="I469" t="s">
        <v>912</v>
      </c>
      <c r="J469" t="s">
        <v>34</v>
      </c>
      <c r="K469" t="s">
        <v>907</v>
      </c>
      <c r="L469" t="s">
        <v>2131</v>
      </c>
      <c r="M469">
        <v>2826</v>
      </c>
    </row>
    <row r="470" spans="6:13" x14ac:dyDescent="0.35">
      <c r="F470" s="483">
        <v>42839</v>
      </c>
      <c r="G470">
        <f t="shared" si="7"/>
        <v>2017</v>
      </c>
      <c r="H470" t="s">
        <v>1383</v>
      </c>
      <c r="I470" t="s">
        <v>912</v>
      </c>
      <c r="J470" t="s">
        <v>30</v>
      </c>
      <c r="K470" t="s">
        <v>907</v>
      </c>
      <c r="L470" t="s">
        <v>2126</v>
      </c>
      <c r="M470">
        <v>3213</v>
      </c>
    </row>
    <row r="471" spans="6:13" x14ac:dyDescent="0.35">
      <c r="F471" s="483">
        <v>42780</v>
      </c>
      <c r="G471">
        <f t="shared" si="7"/>
        <v>2017</v>
      </c>
      <c r="H471" t="s">
        <v>1384</v>
      </c>
      <c r="I471" t="s">
        <v>893</v>
      </c>
      <c r="J471" t="s">
        <v>32</v>
      </c>
      <c r="K471" t="s">
        <v>2123</v>
      </c>
      <c r="L471" t="s">
        <v>2132</v>
      </c>
      <c r="M471">
        <v>2543</v>
      </c>
    </row>
    <row r="472" spans="6:13" x14ac:dyDescent="0.35">
      <c r="F472" s="483">
        <v>42934</v>
      </c>
      <c r="G472">
        <f t="shared" si="7"/>
        <v>2017</v>
      </c>
      <c r="H472" t="s">
        <v>1385</v>
      </c>
      <c r="I472" t="s">
        <v>893</v>
      </c>
      <c r="J472" t="s">
        <v>33</v>
      </c>
      <c r="K472" t="s">
        <v>907</v>
      </c>
      <c r="L472" t="s">
        <v>2125</v>
      </c>
      <c r="M472">
        <v>3471</v>
      </c>
    </row>
    <row r="473" spans="6:13" x14ac:dyDescent="0.35">
      <c r="F473" s="483">
        <v>42839</v>
      </c>
      <c r="G473">
        <f t="shared" si="7"/>
        <v>2017</v>
      </c>
      <c r="H473" t="s">
        <v>1386</v>
      </c>
      <c r="I473" t="s">
        <v>906</v>
      </c>
      <c r="J473" t="s">
        <v>26</v>
      </c>
      <c r="K473" t="s">
        <v>2123</v>
      </c>
      <c r="L473" t="s">
        <v>2128</v>
      </c>
      <c r="M473">
        <v>1215</v>
      </c>
    </row>
    <row r="474" spans="6:13" x14ac:dyDescent="0.35">
      <c r="F474" s="483">
        <v>42810</v>
      </c>
      <c r="G474">
        <f t="shared" si="7"/>
        <v>2017</v>
      </c>
      <c r="H474" t="s">
        <v>1387</v>
      </c>
      <c r="I474" t="s">
        <v>930</v>
      </c>
      <c r="J474" t="s">
        <v>30</v>
      </c>
      <c r="K474" t="s">
        <v>882</v>
      </c>
      <c r="L474" t="s">
        <v>2133</v>
      </c>
      <c r="M474">
        <v>7890</v>
      </c>
    </row>
    <row r="475" spans="6:13" x14ac:dyDescent="0.35">
      <c r="F475" s="483">
        <v>43176</v>
      </c>
      <c r="G475">
        <f t="shared" si="7"/>
        <v>2018</v>
      </c>
      <c r="H475" t="s">
        <v>1388</v>
      </c>
      <c r="I475" t="s">
        <v>885</v>
      </c>
      <c r="J475" t="s">
        <v>31</v>
      </c>
      <c r="K475" t="s">
        <v>890</v>
      </c>
      <c r="L475" t="s">
        <v>2130</v>
      </c>
      <c r="M475">
        <v>6323</v>
      </c>
    </row>
    <row r="476" spans="6:13" x14ac:dyDescent="0.35">
      <c r="F476" s="483">
        <v>42813</v>
      </c>
      <c r="G476">
        <f t="shared" si="7"/>
        <v>2017</v>
      </c>
      <c r="H476" t="s">
        <v>1389</v>
      </c>
      <c r="I476" t="s">
        <v>925</v>
      </c>
      <c r="J476" t="s">
        <v>36</v>
      </c>
      <c r="K476" t="s">
        <v>882</v>
      </c>
      <c r="L476" t="s">
        <v>2128</v>
      </c>
      <c r="M476">
        <v>3018</v>
      </c>
    </row>
    <row r="477" spans="6:13" x14ac:dyDescent="0.35">
      <c r="F477" s="483">
        <v>42776</v>
      </c>
      <c r="G477">
        <f t="shared" si="7"/>
        <v>2017</v>
      </c>
      <c r="H477" t="s">
        <v>1390</v>
      </c>
      <c r="I477" t="s">
        <v>881</v>
      </c>
      <c r="J477" t="s">
        <v>36</v>
      </c>
      <c r="K477" t="s">
        <v>882</v>
      </c>
      <c r="L477" t="s">
        <v>2130</v>
      </c>
      <c r="M477">
        <v>7568</v>
      </c>
    </row>
    <row r="478" spans="6:13" x14ac:dyDescent="0.35">
      <c r="F478" s="483">
        <v>43178</v>
      </c>
      <c r="G478">
        <f t="shared" si="7"/>
        <v>2018</v>
      </c>
      <c r="H478" t="s">
        <v>1391</v>
      </c>
      <c r="I478" t="s">
        <v>881</v>
      </c>
      <c r="J478" t="s">
        <v>30</v>
      </c>
      <c r="K478" t="s">
        <v>2123</v>
      </c>
      <c r="L478" t="s">
        <v>2127</v>
      </c>
      <c r="M478">
        <v>8727</v>
      </c>
    </row>
    <row r="479" spans="6:13" x14ac:dyDescent="0.35">
      <c r="F479" s="483">
        <v>43279</v>
      </c>
      <c r="G479">
        <f t="shared" si="7"/>
        <v>2018</v>
      </c>
      <c r="H479" t="s">
        <v>1392</v>
      </c>
      <c r="I479" t="s">
        <v>1028</v>
      </c>
      <c r="J479" t="s">
        <v>33</v>
      </c>
      <c r="K479" t="s">
        <v>882</v>
      </c>
      <c r="L479" t="s">
        <v>2130</v>
      </c>
      <c r="M479">
        <v>8105</v>
      </c>
    </row>
    <row r="480" spans="6:13" x14ac:dyDescent="0.35">
      <c r="F480" s="483">
        <v>43003</v>
      </c>
      <c r="G480">
        <f t="shared" si="7"/>
        <v>2017</v>
      </c>
      <c r="H480" t="s">
        <v>1393</v>
      </c>
      <c r="I480" t="s">
        <v>906</v>
      </c>
      <c r="J480" t="s">
        <v>35</v>
      </c>
      <c r="K480" t="s">
        <v>2123</v>
      </c>
      <c r="L480" t="s">
        <v>2133</v>
      </c>
      <c r="M480">
        <v>4456</v>
      </c>
    </row>
    <row r="481" spans="6:13" x14ac:dyDescent="0.35">
      <c r="F481" s="483">
        <v>42756</v>
      </c>
      <c r="G481">
        <f t="shared" si="7"/>
        <v>2017</v>
      </c>
      <c r="H481" t="s">
        <v>1394</v>
      </c>
      <c r="I481" t="s">
        <v>885</v>
      </c>
      <c r="J481" t="s">
        <v>30</v>
      </c>
      <c r="K481" t="s">
        <v>907</v>
      </c>
      <c r="L481" t="s">
        <v>2124</v>
      </c>
      <c r="M481">
        <v>8563</v>
      </c>
    </row>
    <row r="482" spans="6:13" x14ac:dyDescent="0.35">
      <c r="F482" s="483">
        <v>43163</v>
      </c>
      <c r="G482">
        <f t="shared" si="7"/>
        <v>2018</v>
      </c>
      <c r="H482" t="s">
        <v>1395</v>
      </c>
      <c r="I482" t="s">
        <v>885</v>
      </c>
      <c r="J482" t="s">
        <v>29</v>
      </c>
      <c r="K482" t="s">
        <v>2123</v>
      </c>
      <c r="L482" t="s">
        <v>2124</v>
      </c>
      <c r="M482">
        <v>7883</v>
      </c>
    </row>
    <row r="483" spans="6:13" x14ac:dyDescent="0.35">
      <c r="F483" s="483">
        <v>42807</v>
      </c>
      <c r="G483">
        <f t="shared" si="7"/>
        <v>2017</v>
      </c>
      <c r="H483" t="s">
        <v>1396</v>
      </c>
      <c r="I483" t="s">
        <v>987</v>
      </c>
      <c r="J483" t="s">
        <v>34</v>
      </c>
      <c r="K483" t="s">
        <v>890</v>
      </c>
      <c r="L483" t="s">
        <v>2124</v>
      </c>
      <c r="M483">
        <v>3308</v>
      </c>
    </row>
    <row r="484" spans="6:13" x14ac:dyDescent="0.35">
      <c r="F484" s="483">
        <v>43092</v>
      </c>
      <c r="G484">
        <f t="shared" si="7"/>
        <v>2017</v>
      </c>
      <c r="H484" t="s">
        <v>1397</v>
      </c>
      <c r="I484" t="s">
        <v>976</v>
      </c>
      <c r="J484" t="s">
        <v>24</v>
      </c>
      <c r="K484" t="s">
        <v>882</v>
      </c>
      <c r="L484" t="s">
        <v>2128</v>
      </c>
      <c r="M484">
        <v>2048</v>
      </c>
    </row>
    <row r="485" spans="6:13" x14ac:dyDescent="0.35">
      <c r="F485" s="483">
        <v>43293</v>
      </c>
      <c r="G485">
        <f t="shared" si="7"/>
        <v>2018</v>
      </c>
      <c r="H485" t="s">
        <v>1398</v>
      </c>
      <c r="I485" t="s">
        <v>885</v>
      </c>
      <c r="J485" t="s">
        <v>35</v>
      </c>
      <c r="K485" t="s">
        <v>907</v>
      </c>
      <c r="L485" t="s">
        <v>2127</v>
      </c>
      <c r="M485">
        <v>3499</v>
      </c>
    </row>
    <row r="486" spans="6:13" x14ac:dyDescent="0.35">
      <c r="F486" s="483">
        <v>43430</v>
      </c>
      <c r="G486">
        <f t="shared" si="7"/>
        <v>2018</v>
      </c>
      <c r="H486" t="s">
        <v>1399</v>
      </c>
      <c r="I486" t="s">
        <v>967</v>
      </c>
      <c r="J486" t="s">
        <v>28</v>
      </c>
      <c r="K486" t="s">
        <v>890</v>
      </c>
      <c r="L486" t="s">
        <v>2133</v>
      </c>
      <c r="M486">
        <v>6050</v>
      </c>
    </row>
    <row r="487" spans="6:13" x14ac:dyDescent="0.35">
      <c r="F487" s="483">
        <v>43083</v>
      </c>
      <c r="G487">
        <f t="shared" si="7"/>
        <v>2017</v>
      </c>
      <c r="H487" t="s">
        <v>1400</v>
      </c>
      <c r="I487" t="s">
        <v>1016</v>
      </c>
      <c r="J487" t="s">
        <v>38</v>
      </c>
      <c r="K487" t="s">
        <v>2123</v>
      </c>
      <c r="L487" t="s">
        <v>2132</v>
      </c>
      <c r="M487">
        <v>3830</v>
      </c>
    </row>
    <row r="488" spans="6:13" x14ac:dyDescent="0.35">
      <c r="F488" s="483">
        <v>42746</v>
      </c>
      <c r="G488">
        <f t="shared" si="7"/>
        <v>2017</v>
      </c>
      <c r="H488" t="s">
        <v>1401</v>
      </c>
      <c r="I488" t="s">
        <v>885</v>
      </c>
      <c r="J488" t="s">
        <v>34</v>
      </c>
      <c r="K488" t="s">
        <v>2123</v>
      </c>
      <c r="L488" t="s">
        <v>2129</v>
      </c>
      <c r="M488">
        <v>2362</v>
      </c>
    </row>
    <row r="489" spans="6:13" x14ac:dyDescent="0.35">
      <c r="F489" s="483">
        <v>42968</v>
      </c>
      <c r="G489">
        <f t="shared" si="7"/>
        <v>2017</v>
      </c>
      <c r="H489" t="s">
        <v>1402</v>
      </c>
      <c r="I489" t="s">
        <v>885</v>
      </c>
      <c r="J489" t="s">
        <v>34</v>
      </c>
      <c r="K489" t="s">
        <v>907</v>
      </c>
      <c r="L489" t="s">
        <v>2129</v>
      </c>
      <c r="M489">
        <v>2661</v>
      </c>
    </row>
    <row r="490" spans="6:13" x14ac:dyDescent="0.35">
      <c r="F490" s="483">
        <v>42834</v>
      </c>
      <c r="G490">
        <f t="shared" si="7"/>
        <v>2017</v>
      </c>
      <c r="H490" t="s">
        <v>1403</v>
      </c>
      <c r="I490" t="s">
        <v>881</v>
      </c>
      <c r="J490" t="s">
        <v>30</v>
      </c>
      <c r="K490" t="s">
        <v>882</v>
      </c>
      <c r="L490" t="s">
        <v>2132</v>
      </c>
      <c r="M490">
        <v>8209</v>
      </c>
    </row>
    <row r="491" spans="6:13" x14ac:dyDescent="0.35">
      <c r="F491" s="483">
        <v>43022</v>
      </c>
      <c r="G491">
        <f t="shared" si="7"/>
        <v>2017</v>
      </c>
      <c r="H491" t="s">
        <v>1404</v>
      </c>
      <c r="I491" t="s">
        <v>1131</v>
      </c>
      <c r="J491" t="s">
        <v>35</v>
      </c>
      <c r="K491" t="s">
        <v>890</v>
      </c>
      <c r="L491" t="s">
        <v>2127</v>
      </c>
      <c r="M491">
        <v>1788</v>
      </c>
    </row>
    <row r="492" spans="6:13" x14ac:dyDescent="0.35">
      <c r="F492" s="483">
        <v>42790</v>
      </c>
      <c r="G492">
        <f t="shared" si="7"/>
        <v>2017</v>
      </c>
      <c r="H492" t="s">
        <v>1405</v>
      </c>
      <c r="I492" t="s">
        <v>1028</v>
      </c>
      <c r="J492" t="s">
        <v>29</v>
      </c>
      <c r="K492" t="s">
        <v>2123</v>
      </c>
      <c r="L492" t="s">
        <v>2124</v>
      </c>
      <c r="M492">
        <v>6062</v>
      </c>
    </row>
    <row r="493" spans="6:13" x14ac:dyDescent="0.35">
      <c r="F493" s="483">
        <v>42741</v>
      </c>
      <c r="G493">
        <f t="shared" si="7"/>
        <v>2017</v>
      </c>
      <c r="H493" t="s">
        <v>1406</v>
      </c>
      <c r="I493" t="s">
        <v>885</v>
      </c>
      <c r="J493" t="s">
        <v>30</v>
      </c>
      <c r="K493" t="s">
        <v>882</v>
      </c>
      <c r="L493" t="s">
        <v>2129</v>
      </c>
      <c r="M493">
        <v>7751</v>
      </c>
    </row>
    <row r="494" spans="6:13" x14ac:dyDescent="0.35">
      <c r="F494" s="483">
        <v>42959</v>
      </c>
      <c r="G494">
        <f t="shared" si="7"/>
        <v>2017</v>
      </c>
      <c r="H494" t="s">
        <v>1407</v>
      </c>
      <c r="I494" t="s">
        <v>939</v>
      </c>
      <c r="J494" t="s">
        <v>32</v>
      </c>
      <c r="K494" t="s">
        <v>2123</v>
      </c>
      <c r="L494" t="s">
        <v>2125</v>
      </c>
      <c r="M494">
        <v>6406</v>
      </c>
    </row>
    <row r="495" spans="6:13" x14ac:dyDescent="0.35">
      <c r="F495" s="483">
        <v>43287</v>
      </c>
      <c r="G495">
        <f t="shared" si="7"/>
        <v>2018</v>
      </c>
      <c r="H495" t="s">
        <v>1408</v>
      </c>
      <c r="I495" t="s">
        <v>1183</v>
      </c>
      <c r="J495" t="s">
        <v>34</v>
      </c>
      <c r="K495" t="s">
        <v>2123</v>
      </c>
      <c r="L495" t="s">
        <v>2127</v>
      </c>
      <c r="M495">
        <v>1560</v>
      </c>
    </row>
    <row r="496" spans="6:13" x14ac:dyDescent="0.35">
      <c r="F496" s="483">
        <v>43286</v>
      </c>
      <c r="G496">
        <f t="shared" si="7"/>
        <v>2018</v>
      </c>
      <c r="H496" t="s">
        <v>1409</v>
      </c>
      <c r="I496" t="s">
        <v>885</v>
      </c>
      <c r="J496" t="s">
        <v>23</v>
      </c>
      <c r="K496" t="s">
        <v>882</v>
      </c>
      <c r="L496" t="s">
        <v>2126</v>
      </c>
      <c r="M496">
        <v>7112</v>
      </c>
    </row>
    <row r="497" spans="6:13" x14ac:dyDescent="0.35">
      <c r="F497" s="483">
        <v>42908</v>
      </c>
      <c r="G497">
        <f t="shared" si="7"/>
        <v>2017</v>
      </c>
      <c r="H497" t="s">
        <v>1410</v>
      </c>
      <c r="I497" t="s">
        <v>976</v>
      </c>
      <c r="J497" t="s">
        <v>33</v>
      </c>
      <c r="K497" t="s">
        <v>890</v>
      </c>
      <c r="L497" t="s">
        <v>2126</v>
      </c>
      <c r="M497">
        <v>4232</v>
      </c>
    </row>
    <row r="498" spans="6:13" x14ac:dyDescent="0.35">
      <c r="F498" s="483">
        <v>43294</v>
      </c>
      <c r="G498">
        <f t="shared" si="7"/>
        <v>2018</v>
      </c>
      <c r="H498" t="s">
        <v>1411</v>
      </c>
      <c r="I498" t="s">
        <v>885</v>
      </c>
      <c r="J498" t="s">
        <v>32</v>
      </c>
      <c r="K498" t="s">
        <v>2123</v>
      </c>
      <c r="L498" t="s">
        <v>2127</v>
      </c>
      <c r="M498">
        <v>4418</v>
      </c>
    </row>
    <row r="499" spans="6:13" x14ac:dyDescent="0.35">
      <c r="F499" s="483">
        <v>43086</v>
      </c>
      <c r="G499">
        <f t="shared" si="7"/>
        <v>2017</v>
      </c>
      <c r="H499" t="s">
        <v>1412</v>
      </c>
      <c r="I499" t="s">
        <v>925</v>
      </c>
      <c r="J499" t="s">
        <v>24</v>
      </c>
      <c r="K499" t="s">
        <v>907</v>
      </c>
      <c r="L499" t="s">
        <v>2133</v>
      </c>
      <c r="M499">
        <v>3619</v>
      </c>
    </row>
    <row r="500" spans="6:13" x14ac:dyDescent="0.35">
      <c r="F500" s="483">
        <v>42909</v>
      </c>
      <c r="G500">
        <f t="shared" si="7"/>
        <v>2017</v>
      </c>
      <c r="H500" t="s">
        <v>1413</v>
      </c>
      <c r="I500" t="s">
        <v>1016</v>
      </c>
      <c r="J500" t="s">
        <v>37</v>
      </c>
      <c r="K500" t="s">
        <v>882</v>
      </c>
      <c r="L500" t="s">
        <v>2132</v>
      </c>
      <c r="M500">
        <v>8871</v>
      </c>
    </row>
    <row r="501" spans="6:13" x14ac:dyDescent="0.35">
      <c r="F501" s="483">
        <v>43109</v>
      </c>
      <c r="G501">
        <f t="shared" si="7"/>
        <v>2018</v>
      </c>
      <c r="H501" t="s">
        <v>1414</v>
      </c>
      <c r="I501" t="s">
        <v>930</v>
      </c>
      <c r="J501" t="s">
        <v>23</v>
      </c>
      <c r="K501" t="s">
        <v>907</v>
      </c>
      <c r="L501" t="s">
        <v>2128</v>
      </c>
      <c r="M501">
        <v>1429</v>
      </c>
    </row>
    <row r="502" spans="6:13" x14ac:dyDescent="0.35">
      <c r="F502" s="483">
        <v>43184</v>
      </c>
      <c r="G502">
        <f t="shared" si="7"/>
        <v>2018</v>
      </c>
      <c r="H502" t="s">
        <v>1415</v>
      </c>
      <c r="I502" t="s">
        <v>1210</v>
      </c>
      <c r="J502" t="s">
        <v>38</v>
      </c>
      <c r="K502" t="s">
        <v>890</v>
      </c>
      <c r="L502" t="s">
        <v>2131</v>
      </c>
      <c r="M502">
        <v>2362</v>
      </c>
    </row>
    <row r="503" spans="6:13" x14ac:dyDescent="0.35">
      <c r="F503" s="483">
        <v>43451</v>
      </c>
      <c r="G503">
        <f t="shared" si="7"/>
        <v>2018</v>
      </c>
      <c r="H503" t="s">
        <v>1416</v>
      </c>
      <c r="I503" t="s">
        <v>1018</v>
      </c>
      <c r="J503" t="s">
        <v>30</v>
      </c>
      <c r="K503" t="s">
        <v>2123</v>
      </c>
      <c r="L503" t="s">
        <v>2124</v>
      </c>
      <c r="M503">
        <v>4044</v>
      </c>
    </row>
    <row r="504" spans="6:13" x14ac:dyDescent="0.35">
      <c r="F504" s="483">
        <v>43218</v>
      </c>
      <c r="G504">
        <f t="shared" si="7"/>
        <v>2018</v>
      </c>
      <c r="H504" t="s">
        <v>1417</v>
      </c>
      <c r="I504" t="s">
        <v>885</v>
      </c>
      <c r="J504" t="s">
        <v>30</v>
      </c>
      <c r="K504" t="s">
        <v>907</v>
      </c>
      <c r="L504" t="s">
        <v>2128</v>
      </c>
      <c r="M504">
        <v>3118</v>
      </c>
    </row>
    <row r="505" spans="6:13" x14ac:dyDescent="0.35">
      <c r="F505" s="483">
        <v>43409</v>
      </c>
      <c r="G505">
        <f t="shared" si="7"/>
        <v>2018</v>
      </c>
      <c r="H505" t="s">
        <v>1418</v>
      </c>
      <c r="I505" t="s">
        <v>881</v>
      </c>
      <c r="J505" t="s">
        <v>28</v>
      </c>
      <c r="K505" t="s">
        <v>2123</v>
      </c>
      <c r="L505" t="s">
        <v>2128</v>
      </c>
      <c r="M505">
        <v>1148</v>
      </c>
    </row>
    <row r="506" spans="6:13" x14ac:dyDescent="0.35">
      <c r="F506" s="483">
        <v>43068</v>
      </c>
      <c r="G506">
        <f t="shared" si="7"/>
        <v>2017</v>
      </c>
      <c r="H506" t="s">
        <v>1419</v>
      </c>
      <c r="I506" t="s">
        <v>885</v>
      </c>
      <c r="J506" t="s">
        <v>28</v>
      </c>
      <c r="K506" t="s">
        <v>882</v>
      </c>
      <c r="L506" t="s">
        <v>2131</v>
      </c>
      <c r="M506">
        <v>8457</v>
      </c>
    </row>
    <row r="507" spans="6:13" x14ac:dyDescent="0.35">
      <c r="F507" s="483">
        <v>43290</v>
      </c>
      <c r="G507">
        <f t="shared" si="7"/>
        <v>2018</v>
      </c>
      <c r="H507" t="s">
        <v>1420</v>
      </c>
      <c r="I507" t="s">
        <v>1016</v>
      </c>
      <c r="J507" t="s">
        <v>37</v>
      </c>
      <c r="K507" t="s">
        <v>890</v>
      </c>
      <c r="L507" t="s">
        <v>2126</v>
      </c>
      <c r="M507">
        <v>6036</v>
      </c>
    </row>
    <row r="508" spans="6:13" x14ac:dyDescent="0.35">
      <c r="F508" s="483">
        <v>42880</v>
      </c>
      <c r="G508">
        <f t="shared" si="7"/>
        <v>2017</v>
      </c>
      <c r="H508" t="s">
        <v>1421</v>
      </c>
      <c r="I508" t="s">
        <v>917</v>
      </c>
      <c r="J508" t="s">
        <v>31</v>
      </c>
      <c r="K508" t="s">
        <v>907</v>
      </c>
      <c r="L508" t="s">
        <v>2129</v>
      </c>
      <c r="M508">
        <v>6206</v>
      </c>
    </row>
    <row r="509" spans="6:13" x14ac:dyDescent="0.35">
      <c r="F509" s="483">
        <v>43010</v>
      </c>
      <c r="G509">
        <f t="shared" si="7"/>
        <v>2017</v>
      </c>
      <c r="H509" t="s">
        <v>1422</v>
      </c>
      <c r="I509" t="s">
        <v>881</v>
      </c>
      <c r="J509" t="s">
        <v>23</v>
      </c>
      <c r="K509" t="s">
        <v>2123</v>
      </c>
      <c r="L509" t="s">
        <v>2131</v>
      </c>
      <c r="M509">
        <v>2562</v>
      </c>
    </row>
    <row r="510" spans="6:13" x14ac:dyDescent="0.35">
      <c r="F510" s="483">
        <v>43360</v>
      </c>
      <c r="G510">
        <f t="shared" si="7"/>
        <v>2018</v>
      </c>
      <c r="H510" t="s">
        <v>1423</v>
      </c>
      <c r="I510" t="s">
        <v>885</v>
      </c>
      <c r="J510" t="s">
        <v>33</v>
      </c>
      <c r="K510" t="s">
        <v>882</v>
      </c>
      <c r="L510" t="s">
        <v>2124</v>
      </c>
      <c r="M510">
        <v>7756</v>
      </c>
    </row>
    <row r="511" spans="6:13" x14ac:dyDescent="0.35">
      <c r="F511" s="483">
        <v>43080</v>
      </c>
      <c r="G511">
        <f t="shared" si="7"/>
        <v>2017</v>
      </c>
      <c r="H511" t="s">
        <v>1424</v>
      </c>
      <c r="I511" t="s">
        <v>939</v>
      </c>
      <c r="J511" t="s">
        <v>33</v>
      </c>
      <c r="K511" t="s">
        <v>890</v>
      </c>
      <c r="L511" t="s">
        <v>2128</v>
      </c>
      <c r="M511">
        <v>4430</v>
      </c>
    </row>
    <row r="512" spans="6:13" x14ac:dyDescent="0.35">
      <c r="F512" s="483">
        <v>43057</v>
      </c>
      <c r="G512">
        <f t="shared" si="7"/>
        <v>2017</v>
      </c>
      <c r="H512" t="s">
        <v>1425</v>
      </c>
      <c r="I512" t="s">
        <v>885</v>
      </c>
      <c r="J512" t="s">
        <v>30</v>
      </c>
      <c r="K512" t="s">
        <v>2123</v>
      </c>
      <c r="L512" t="s">
        <v>2125</v>
      </c>
      <c r="M512">
        <v>2001</v>
      </c>
    </row>
    <row r="513" spans="6:13" x14ac:dyDescent="0.35">
      <c r="F513" s="483">
        <v>42929</v>
      </c>
      <c r="G513">
        <f t="shared" si="7"/>
        <v>2017</v>
      </c>
      <c r="H513" t="s">
        <v>1426</v>
      </c>
      <c r="I513" t="s">
        <v>881</v>
      </c>
      <c r="J513" t="s">
        <v>34</v>
      </c>
      <c r="K513" t="s">
        <v>882</v>
      </c>
      <c r="L513" t="s">
        <v>2129</v>
      </c>
      <c r="M513">
        <v>2101</v>
      </c>
    </row>
    <row r="514" spans="6:13" x14ac:dyDescent="0.35">
      <c r="F514" s="483">
        <v>43144</v>
      </c>
      <c r="G514">
        <f t="shared" si="7"/>
        <v>2018</v>
      </c>
      <c r="H514" t="s">
        <v>1427</v>
      </c>
      <c r="I514" t="s">
        <v>885</v>
      </c>
      <c r="J514" t="s">
        <v>29</v>
      </c>
      <c r="K514" t="s">
        <v>890</v>
      </c>
      <c r="L514" t="s">
        <v>2132</v>
      </c>
      <c r="M514">
        <v>4963</v>
      </c>
    </row>
    <row r="515" spans="6:13" x14ac:dyDescent="0.35">
      <c r="F515" s="483">
        <v>43186</v>
      </c>
      <c r="G515">
        <f t="shared" si="7"/>
        <v>2018</v>
      </c>
      <c r="H515" t="s">
        <v>1428</v>
      </c>
      <c r="I515" t="s">
        <v>991</v>
      </c>
      <c r="J515" t="s">
        <v>30</v>
      </c>
      <c r="K515" t="s">
        <v>882</v>
      </c>
      <c r="L515" t="s">
        <v>2132</v>
      </c>
      <c r="M515">
        <v>4684</v>
      </c>
    </row>
    <row r="516" spans="6:13" x14ac:dyDescent="0.35">
      <c r="F516" s="483">
        <v>43256</v>
      </c>
      <c r="G516">
        <f t="shared" si="7"/>
        <v>2018</v>
      </c>
      <c r="H516" t="s">
        <v>1429</v>
      </c>
      <c r="I516" t="s">
        <v>1131</v>
      </c>
      <c r="J516" t="s">
        <v>33</v>
      </c>
      <c r="K516" t="s">
        <v>882</v>
      </c>
      <c r="L516" t="s">
        <v>2132</v>
      </c>
      <c r="M516">
        <v>6246</v>
      </c>
    </row>
    <row r="517" spans="6:13" x14ac:dyDescent="0.35">
      <c r="F517" s="483">
        <v>43203</v>
      </c>
      <c r="G517">
        <f t="shared" si="7"/>
        <v>2018</v>
      </c>
      <c r="H517" t="s">
        <v>1430</v>
      </c>
      <c r="I517" t="s">
        <v>991</v>
      </c>
      <c r="J517" t="s">
        <v>32</v>
      </c>
      <c r="K517" t="s">
        <v>890</v>
      </c>
      <c r="L517" t="s">
        <v>2127</v>
      </c>
      <c r="M517">
        <v>3283</v>
      </c>
    </row>
    <row r="518" spans="6:13" x14ac:dyDescent="0.35">
      <c r="F518" s="483">
        <v>43281</v>
      </c>
      <c r="G518">
        <f t="shared" si="7"/>
        <v>2018</v>
      </c>
      <c r="H518" t="s">
        <v>1431</v>
      </c>
      <c r="I518" t="s">
        <v>885</v>
      </c>
      <c r="J518" t="s">
        <v>26</v>
      </c>
      <c r="K518" t="s">
        <v>2123</v>
      </c>
      <c r="L518" t="s">
        <v>2124</v>
      </c>
      <c r="M518">
        <v>7025</v>
      </c>
    </row>
    <row r="519" spans="6:13" x14ac:dyDescent="0.35">
      <c r="F519" s="483">
        <v>43122</v>
      </c>
      <c r="G519">
        <f t="shared" si="7"/>
        <v>2018</v>
      </c>
      <c r="H519" t="s">
        <v>1432</v>
      </c>
      <c r="I519" t="s">
        <v>1210</v>
      </c>
      <c r="J519" t="s">
        <v>35</v>
      </c>
      <c r="K519" t="s">
        <v>907</v>
      </c>
      <c r="L519" t="s">
        <v>2125</v>
      </c>
      <c r="M519">
        <v>1377</v>
      </c>
    </row>
    <row r="520" spans="6:13" x14ac:dyDescent="0.35">
      <c r="F520" s="483">
        <v>43176</v>
      </c>
      <c r="G520">
        <f t="shared" si="7"/>
        <v>2018</v>
      </c>
      <c r="H520" t="s">
        <v>1433</v>
      </c>
      <c r="I520" t="s">
        <v>912</v>
      </c>
      <c r="J520" t="s">
        <v>36</v>
      </c>
      <c r="K520" t="s">
        <v>2123</v>
      </c>
      <c r="L520" t="s">
        <v>2127</v>
      </c>
      <c r="M520">
        <v>2951</v>
      </c>
    </row>
    <row r="521" spans="6:13" x14ac:dyDescent="0.35">
      <c r="F521" s="483">
        <v>43165</v>
      </c>
      <c r="G521">
        <f t="shared" si="7"/>
        <v>2018</v>
      </c>
      <c r="H521" t="s">
        <v>1434</v>
      </c>
      <c r="I521" t="s">
        <v>885</v>
      </c>
      <c r="J521" t="s">
        <v>33</v>
      </c>
      <c r="K521" t="s">
        <v>2123</v>
      </c>
      <c r="L521" t="s">
        <v>2125</v>
      </c>
      <c r="M521">
        <v>1382</v>
      </c>
    </row>
    <row r="522" spans="6:13" x14ac:dyDescent="0.35">
      <c r="F522" s="483">
        <v>42960</v>
      </c>
      <c r="G522">
        <f t="shared" ref="G522:G585" si="8">YEAR(F522)</f>
        <v>2017</v>
      </c>
      <c r="H522" t="s">
        <v>1435</v>
      </c>
      <c r="I522" t="s">
        <v>1018</v>
      </c>
      <c r="J522" t="s">
        <v>23</v>
      </c>
      <c r="K522" t="s">
        <v>2123</v>
      </c>
      <c r="L522" t="s">
        <v>2131</v>
      </c>
      <c r="M522">
        <v>4183</v>
      </c>
    </row>
    <row r="523" spans="6:13" x14ac:dyDescent="0.35">
      <c r="F523" s="483">
        <v>43329</v>
      </c>
      <c r="G523">
        <f t="shared" si="8"/>
        <v>2018</v>
      </c>
      <c r="H523" t="s">
        <v>1436</v>
      </c>
      <c r="I523" t="s">
        <v>885</v>
      </c>
      <c r="J523" t="s">
        <v>33</v>
      </c>
      <c r="K523" t="s">
        <v>882</v>
      </c>
      <c r="L523" t="s">
        <v>2125</v>
      </c>
      <c r="M523">
        <v>2134</v>
      </c>
    </row>
    <row r="524" spans="6:13" x14ac:dyDescent="0.35">
      <c r="F524" s="483">
        <v>42964</v>
      </c>
      <c r="G524">
        <f t="shared" si="8"/>
        <v>2017</v>
      </c>
      <c r="H524" t="s">
        <v>1437</v>
      </c>
      <c r="I524" t="s">
        <v>885</v>
      </c>
      <c r="J524" t="s">
        <v>34</v>
      </c>
      <c r="K524" t="s">
        <v>907</v>
      </c>
      <c r="L524" t="s">
        <v>2128</v>
      </c>
      <c r="M524">
        <v>4692</v>
      </c>
    </row>
    <row r="525" spans="6:13" x14ac:dyDescent="0.35">
      <c r="F525" s="483">
        <v>43238</v>
      </c>
      <c r="G525">
        <f t="shared" si="8"/>
        <v>2018</v>
      </c>
      <c r="H525" t="s">
        <v>1438</v>
      </c>
      <c r="I525" t="s">
        <v>885</v>
      </c>
      <c r="J525" t="s">
        <v>30</v>
      </c>
      <c r="K525" t="s">
        <v>890</v>
      </c>
      <c r="L525" t="s">
        <v>2126</v>
      </c>
      <c r="M525">
        <v>3728</v>
      </c>
    </row>
    <row r="526" spans="6:13" x14ac:dyDescent="0.35">
      <c r="F526" s="483">
        <v>43441</v>
      </c>
      <c r="G526">
        <f t="shared" si="8"/>
        <v>2018</v>
      </c>
      <c r="H526" t="s">
        <v>1439</v>
      </c>
      <c r="I526" t="s">
        <v>885</v>
      </c>
      <c r="J526" t="s">
        <v>35</v>
      </c>
      <c r="K526" t="s">
        <v>882</v>
      </c>
      <c r="L526" t="s">
        <v>2126</v>
      </c>
      <c r="M526">
        <v>4920</v>
      </c>
    </row>
    <row r="527" spans="6:13" x14ac:dyDescent="0.35">
      <c r="F527" s="483">
        <v>43071</v>
      </c>
      <c r="G527">
        <f t="shared" si="8"/>
        <v>2017</v>
      </c>
      <c r="H527" t="s">
        <v>1440</v>
      </c>
      <c r="I527" t="s">
        <v>885</v>
      </c>
      <c r="J527" t="s">
        <v>23</v>
      </c>
      <c r="K527" t="s">
        <v>882</v>
      </c>
      <c r="L527" t="s">
        <v>2132</v>
      </c>
      <c r="M527">
        <v>6746</v>
      </c>
    </row>
    <row r="528" spans="6:13" x14ac:dyDescent="0.35">
      <c r="F528" s="483">
        <v>43172</v>
      </c>
      <c r="G528">
        <f t="shared" si="8"/>
        <v>2018</v>
      </c>
      <c r="H528" t="s">
        <v>1441</v>
      </c>
      <c r="I528" t="s">
        <v>982</v>
      </c>
      <c r="J528" t="s">
        <v>23</v>
      </c>
      <c r="K528" t="s">
        <v>907</v>
      </c>
      <c r="L528" t="s">
        <v>2130</v>
      </c>
      <c r="M528">
        <v>7695</v>
      </c>
    </row>
    <row r="529" spans="6:13" x14ac:dyDescent="0.35">
      <c r="F529" s="483">
        <v>43371</v>
      </c>
      <c r="G529">
        <f t="shared" si="8"/>
        <v>2018</v>
      </c>
      <c r="H529" t="s">
        <v>1442</v>
      </c>
      <c r="I529" t="s">
        <v>906</v>
      </c>
      <c r="J529" t="s">
        <v>35</v>
      </c>
      <c r="K529" t="s">
        <v>907</v>
      </c>
      <c r="L529" t="s">
        <v>2133</v>
      </c>
      <c r="M529">
        <v>8860</v>
      </c>
    </row>
    <row r="530" spans="6:13" x14ac:dyDescent="0.35">
      <c r="F530" s="483">
        <v>42914</v>
      </c>
      <c r="G530">
        <f t="shared" si="8"/>
        <v>2017</v>
      </c>
      <c r="H530" t="s">
        <v>1443</v>
      </c>
      <c r="I530" t="s">
        <v>923</v>
      </c>
      <c r="J530" t="s">
        <v>35</v>
      </c>
      <c r="K530" t="s">
        <v>907</v>
      </c>
      <c r="L530" t="s">
        <v>2125</v>
      </c>
      <c r="M530">
        <v>4059</v>
      </c>
    </row>
    <row r="531" spans="6:13" x14ac:dyDescent="0.35">
      <c r="F531" s="483">
        <v>43022</v>
      </c>
      <c r="G531">
        <f t="shared" si="8"/>
        <v>2017</v>
      </c>
      <c r="H531" t="s">
        <v>1444</v>
      </c>
      <c r="I531" t="s">
        <v>1016</v>
      </c>
      <c r="J531" t="s">
        <v>35</v>
      </c>
      <c r="K531" t="s">
        <v>907</v>
      </c>
      <c r="L531" t="s">
        <v>2132</v>
      </c>
      <c r="M531">
        <v>8323</v>
      </c>
    </row>
    <row r="532" spans="6:13" x14ac:dyDescent="0.35">
      <c r="F532" s="483">
        <v>42926</v>
      </c>
      <c r="G532">
        <f t="shared" si="8"/>
        <v>2017</v>
      </c>
      <c r="H532" t="s">
        <v>1445</v>
      </c>
      <c r="I532" t="s">
        <v>906</v>
      </c>
      <c r="J532" t="s">
        <v>26</v>
      </c>
      <c r="K532" t="s">
        <v>907</v>
      </c>
      <c r="L532" t="s">
        <v>2131</v>
      </c>
      <c r="M532">
        <v>3472</v>
      </c>
    </row>
    <row r="533" spans="6:13" x14ac:dyDescent="0.35">
      <c r="F533" s="483">
        <v>43234</v>
      </c>
      <c r="G533">
        <f t="shared" si="8"/>
        <v>2018</v>
      </c>
      <c r="H533" t="s">
        <v>1446</v>
      </c>
      <c r="I533" t="s">
        <v>885</v>
      </c>
      <c r="J533" t="s">
        <v>35</v>
      </c>
      <c r="K533" t="s">
        <v>907</v>
      </c>
      <c r="L533" t="s">
        <v>2131</v>
      </c>
      <c r="M533">
        <v>3344</v>
      </c>
    </row>
    <row r="534" spans="6:13" x14ac:dyDescent="0.35">
      <c r="F534" s="483">
        <v>43042</v>
      </c>
      <c r="G534">
        <f t="shared" si="8"/>
        <v>2017</v>
      </c>
      <c r="H534" t="s">
        <v>1447</v>
      </c>
      <c r="I534" t="s">
        <v>885</v>
      </c>
      <c r="J534" t="s">
        <v>36</v>
      </c>
      <c r="K534" t="s">
        <v>890</v>
      </c>
      <c r="L534" t="s">
        <v>2128</v>
      </c>
      <c r="M534">
        <v>7788</v>
      </c>
    </row>
    <row r="535" spans="6:13" x14ac:dyDescent="0.35">
      <c r="F535" s="483">
        <v>42867</v>
      </c>
      <c r="G535">
        <f t="shared" si="8"/>
        <v>2017</v>
      </c>
      <c r="H535" t="s">
        <v>1448</v>
      </c>
      <c r="I535" t="s">
        <v>967</v>
      </c>
      <c r="J535" t="s">
        <v>34</v>
      </c>
      <c r="K535" t="s">
        <v>2123</v>
      </c>
      <c r="L535" t="s">
        <v>2126</v>
      </c>
      <c r="M535">
        <v>5147</v>
      </c>
    </row>
    <row r="536" spans="6:13" x14ac:dyDescent="0.35">
      <c r="F536" s="483">
        <v>43228</v>
      </c>
      <c r="G536">
        <f t="shared" si="8"/>
        <v>2018</v>
      </c>
      <c r="H536" t="s">
        <v>1449</v>
      </c>
      <c r="I536" t="s">
        <v>1210</v>
      </c>
      <c r="J536" t="s">
        <v>23</v>
      </c>
      <c r="K536" t="s">
        <v>907</v>
      </c>
      <c r="L536" t="s">
        <v>2124</v>
      </c>
      <c r="M536">
        <v>7511</v>
      </c>
    </row>
    <row r="537" spans="6:13" x14ac:dyDescent="0.35">
      <c r="F537" s="483">
        <v>42925</v>
      </c>
      <c r="G537">
        <f t="shared" si="8"/>
        <v>2017</v>
      </c>
      <c r="H537" t="s">
        <v>1450</v>
      </c>
      <c r="I537" t="s">
        <v>881</v>
      </c>
      <c r="J537" t="s">
        <v>28</v>
      </c>
      <c r="K537" t="s">
        <v>890</v>
      </c>
      <c r="L537" t="s">
        <v>2132</v>
      </c>
      <c r="M537">
        <v>5316</v>
      </c>
    </row>
    <row r="538" spans="6:13" x14ac:dyDescent="0.35">
      <c r="F538" s="483">
        <v>42887</v>
      </c>
      <c r="G538">
        <f t="shared" si="8"/>
        <v>2017</v>
      </c>
      <c r="H538" t="s">
        <v>1451</v>
      </c>
      <c r="I538" t="s">
        <v>925</v>
      </c>
      <c r="J538" t="s">
        <v>29</v>
      </c>
      <c r="K538" t="s">
        <v>882</v>
      </c>
      <c r="L538" t="s">
        <v>2124</v>
      </c>
      <c r="M538">
        <v>3051</v>
      </c>
    </row>
    <row r="539" spans="6:13" x14ac:dyDescent="0.35">
      <c r="F539" s="483">
        <v>43140</v>
      </c>
      <c r="G539">
        <f t="shared" si="8"/>
        <v>2018</v>
      </c>
      <c r="H539" t="s">
        <v>1452</v>
      </c>
      <c r="I539" t="s">
        <v>885</v>
      </c>
      <c r="J539" t="s">
        <v>34</v>
      </c>
      <c r="K539" t="s">
        <v>2123</v>
      </c>
      <c r="L539" t="s">
        <v>2131</v>
      </c>
      <c r="M539">
        <v>2278</v>
      </c>
    </row>
    <row r="540" spans="6:13" x14ac:dyDescent="0.35">
      <c r="F540" s="483">
        <v>42965</v>
      </c>
      <c r="G540">
        <f t="shared" si="8"/>
        <v>2017</v>
      </c>
      <c r="H540" t="s">
        <v>1453</v>
      </c>
      <c r="I540" t="s">
        <v>906</v>
      </c>
      <c r="J540" t="s">
        <v>29</v>
      </c>
      <c r="K540" t="s">
        <v>907</v>
      </c>
      <c r="L540" t="s">
        <v>2126</v>
      </c>
      <c r="M540">
        <v>5724</v>
      </c>
    </row>
    <row r="541" spans="6:13" x14ac:dyDescent="0.35">
      <c r="F541" s="483">
        <v>42949</v>
      </c>
      <c r="G541">
        <f t="shared" si="8"/>
        <v>2017</v>
      </c>
      <c r="H541" t="s">
        <v>1454</v>
      </c>
      <c r="I541" t="s">
        <v>885</v>
      </c>
      <c r="J541" t="s">
        <v>38</v>
      </c>
      <c r="K541" t="s">
        <v>882</v>
      </c>
      <c r="L541" t="s">
        <v>2129</v>
      </c>
      <c r="M541">
        <v>7356</v>
      </c>
    </row>
    <row r="542" spans="6:13" x14ac:dyDescent="0.35">
      <c r="F542" s="483">
        <v>43040</v>
      </c>
      <c r="G542">
        <f t="shared" si="8"/>
        <v>2017</v>
      </c>
      <c r="H542" t="s">
        <v>1455</v>
      </c>
      <c r="I542" t="s">
        <v>885</v>
      </c>
      <c r="J542" t="s">
        <v>24</v>
      </c>
      <c r="K542" t="s">
        <v>2123</v>
      </c>
      <c r="L542" t="s">
        <v>2126</v>
      </c>
      <c r="M542">
        <v>8012</v>
      </c>
    </row>
    <row r="543" spans="6:13" x14ac:dyDescent="0.35">
      <c r="F543" s="483">
        <v>43015</v>
      </c>
      <c r="G543">
        <f t="shared" si="8"/>
        <v>2017</v>
      </c>
      <c r="H543" t="s">
        <v>1456</v>
      </c>
      <c r="I543" t="s">
        <v>885</v>
      </c>
      <c r="J543" t="s">
        <v>36</v>
      </c>
      <c r="K543" t="s">
        <v>907</v>
      </c>
      <c r="L543" t="s">
        <v>2132</v>
      </c>
      <c r="M543">
        <v>2943</v>
      </c>
    </row>
    <row r="544" spans="6:13" x14ac:dyDescent="0.35">
      <c r="F544" s="483">
        <v>43232</v>
      </c>
      <c r="G544">
        <f t="shared" si="8"/>
        <v>2018</v>
      </c>
      <c r="H544" t="s">
        <v>1457</v>
      </c>
      <c r="I544" t="s">
        <v>895</v>
      </c>
      <c r="J544" t="s">
        <v>36</v>
      </c>
      <c r="K544" t="s">
        <v>882</v>
      </c>
      <c r="L544" t="s">
        <v>2126</v>
      </c>
      <c r="M544">
        <v>2624</v>
      </c>
    </row>
    <row r="545" spans="6:13" x14ac:dyDescent="0.35">
      <c r="F545" s="483">
        <v>43369</v>
      </c>
      <c r="G545">
        <f t="shared" si="8"/>
        <v>2018</v>
      </c>
      <c r="H545" t="s">
        <v>1458</v>
      </c>
      <c r="I545" t="s">
        <v>1183</v>
      </c>
      <c r="J545" t="s">
        <v>29</v>
      </c>
      <c r="K545" t="s">
        <v>907</v>
      </c>
      <c r="L545" t="s">
        <v>2125</v>
      </c>
      <c r="M545">
        <v>1339</v>
      </c>
    </row>
    <row r="546" spans="6:13" x14ac:dyDescent="0.35">
      <c r="F546" s="483">
        <v>43319</v>
      </c>
      <c r="G546">
        <f t="shared" si="8"/>
        <v>2018</v>
      </c>
      <c r="H546" t="s">
        <v>1459</v>
      </c>
      <c r="I546" t="s">
        <v>923</v>
      </c>
      <c r="J546" t="s">
        <v>31</v>
      </c>
      <c r="K546" t="s">
        <v>2123</v>
      </c>
      <c r="L546" t="s">
        <v>2129</v>
      </c>
      <c r="M546">
        <v>2069</v>
      </c>
    </row>
    <row r="547" spans="6:13" x14ac:dyDescent="0.35">
      <c r="F547" s="483">
        <v>42991</v>
      </c>
      <c r="G547">
        <f t="shared" si="8"/>
        <v>2017</v>
      </c>
      <c r="H547" t="s">
        <v>1460</v>
      </c>
      <c r="I547" t="s">
        <v>881</v>
      </c>
      <c r="J547" t="s">
        <v>37</v>
      </c>
      <c r="K547" t="s">
        <v>2123</v>
      </c>
      <c r="L547" t="s">
        <v>2132</v>
      </c>
      <c r="M547">
        <v>1717</v>
      </c>
    </row>
    <row r="548" spans="6:13" x14ac:dyDescent="0.35">
      <c r="F548" s="483">
        <v>43446</v>
      </c>
      <c r="G548">
        <f t="shared" si="8"/>
        <v>2018</v>
      </c>
      <c r="H548" t="s">
        <v>1461</v>
      </c>
      <c r="I548" t="s">
        <v>1131</v>
      </c>
      <c r="J548" t="s">
        <v>36</v>
      </c>
      <c r="K548" t="s">
        <v>882</v>
      </c>
      <c r="L548" t="s">
        <v>2131</v>
      </c>
      <c r="M548">
        <v>8755</v>
      </c>
    </row>
    <row r="549" spans="6:13" x14ac:dyDescent="0.35">
      <c r="F549" s="483">
        <v>42776</v>
      </c>
      <c r="G549">
        <f t="shared" si="8"/>
        <v>2017</v>
      </c>
      <c r="H549" t="s">
        <v>1462</v>
      </c>
      <c r="I549" t="s">
        <v>881</v>
      </c>
      <c r="J549" t="s">
        <v>32</v>
      </c>
      <c r="K549" t="s">
        <v>907</v>
      </c>
      <c r="L549" t="s">
        <v>2131</v>
      </c>
      <c r="M549">
        <v>6792</v>
      </c>
    </row>
    <row r="550" spans="6:13" x14ac:dyDescent="0.35">
      <c r="F550" s="483">
        <v>43040</v>
      </c>
      <c r="G550">
        <f t="shared" si="8"/>
        <v>2017</v>
      </c>
      <c r="H550" t="s">
        <v>1463</v>
      </c>
      <c r="I550" t="s">
        <v>881</v>
      </c>
      <c r="J550" t="s">
        <v>30</v>
      </c>
      <c r="K550" t="s">
        <v>907</v>
      </c>
      <c r="L550" t="s">
        <v>2130</v>
      </c>
      <c r="M550">
        <v>5563</v>
      </c>
    </row>
    <row r="551" spans="6:13" x14ac:dyDescent="0.35">
      <c r="F551" s="483">
        <v>43288</v>
      </c>
      <c r="G551">
        <f t="shared" si="8"/>
        <v>2018</v>
      </c>
      <c r="H551" t="s">
        <v>1464</v>
      </c>
      <c r="I551" t="s">
        <v>885</v>
      </c>
      <c r="J551" t="s">
        <v>33</v>
      </c>
      <c r="K551" t="s">
        <v>907</v>
      </c>
      <c r="L551" t="s">
        <v>2130</v>
      </c>
      <c r="M551">
        <v>5625</v>
      </c>
    </row>
    <row r="552" spans="6:13" x14ac:dyDescent="0.35">
      <c r="F552" s="483">
        <v>43159</v>
      </c>
      <c r="G552">
        <f t="shared" si="8"/>
        <v>2018</v>
      </c>
      <c r="H552" t="s">
        <v>1465</v>
      </c>
      <c r="I552" t="s">
        <v>881</v>
      </c>
      <c r="J552" t="s">
        <v>37</v>
      </c>
      <c r="K552" t="s">
        <v>2123</v>
      </c>
      <c r="L552" t="s">
        <v>2127</v>
      </c>
      <c r="M552">
        <v>6477</v>
      </c>
    </row>
    <row r="553" spans="6:13" x14ac:dyDescent="0.35">
      <c r="F553" s="483">
        <v>43222</v>
      </c>
      <c r="G553">
        <f t="shared" si="8"/>
        <v>2018</v>
      </c>
      <c r="H553" t="s">
        <v>1466</v>
      </c>
      <c r="I553" t="s">
        <v>1210</v>
      </c>
      <c r="J553" t="s">
        <v>37</v>
      </c>
      <c r="K553" t="s">
        <v>890</v>
      </c>
      <c r="L553" t="s">
        <v>2132</v>
      </c>
      <c r="M553">
        <v>4831</v>
      </c>
    </row>
    <row r="554" spans="6:13" x14ac:dyDescent="0.35">
      <c r="F554" s="483">
        <v>43188</v>
      </c>
      <c r="G554">
        <f t="shared" si="8"/>
        <v>2018</v>
      </c>
      <c r="H554" t="s">
        <v>1467</v>
      </c>
      <c r="I554" t="s">
        <v>1210</v>
      </c>
      <c r="J554" t="s">
        <v>34</v>
      </c>
      <c r="K554" t="s">
        <v>890</v>
      </c>
      <c r="L554" t="s">
        <v>2133</v>
      </c>
      <c r="M554">
        <v>7705</v>
      </c>
    </row>
    <row r="555" spans="6:13" x14ac:dyDescent="0.35">
      <c r="F555" s="483">
        <v>43079</v>
      </c>
      <c r="G555">
        <f t="shared" si="8"/>
        <v>2017</v>
      </c>
      <c r="H555" t="s">
        <v>1468</v>
      </c>
      <c r="I555" t="s">
        <v>967</v>
      </c>
      <c r="J555" t="s">
        <v>32</v>
      </c>
      <c r="K555" t="s">
        <v>890</v>
      </c>
      <c r="L555" t="s">
        <v>2126</v>
      </c>
      <c r="M555">
        <v>1166</v>
      </c>
    </row>
    <row r="556" spans="6:13" x14ac:dyDescent="0.35">
      <c r="F556" s="483">
        <v>42999</v>
      </c>
      <c r="G556">
        <f t="shared" si="8"/>
        <v>2017</v>
      </c>
      <c r="H556" t="s">
        <v>1469</v>
      </c>
      <c r="I556" t="s">
        <v>1022</v>
      </c>
      <c r="J556" t="s">
        <v>23</v>
      </c>
      <c r="K556" t="s">
        <v>890</v>
      </c>
      <c r="L556" t="s">
        <v>2125</v>
      </c>
      <c r="M556">
        <v>7071</v>
      </c>
    </row>
    <row r="557" spans="6:13" x14ac:dyDescent="0.35">
      <c r="F557" s="483">
        <v>42956</v>
      </c>
      <c r="G557">
        <f t="shared" si="8"/>
        <v>2017</v>
      </c>
      <c r="H557" t="s">
        <v>1470</v>
      </c>
      <c r="I557" t="s">
        <v>932</v>
      </c>
      <c r="J557" t="s">
        <v>32</v>
      </c>
      <c r="K557" t="s">
        <v>890</v>
      </c>
      <c r="L557" t="s">
        <v>2128</v>
      </c>
      <c r="M557">
        <v>3907</v>
      </c>
    </row>
    <row r="558" spans="6:13" x14ac:dyDescent="0.35">
      <c r="F558" s="483">
        <v>43301</v>
      </c>
      <c r="G558">
        <f t="shared" si="8"/>
        <v>2018</v>
      </c>
      <c r="H558" t="s">
        <v>1471</v>
      </c>
      <c r="I558" t="s">
        <v>885</v>
      </c>
      <c r="J558" t="s">
        <v>29</v>
      </c>
      <c r="K558" t="s">
        <v>882</v>
      </c>
      <c r="L558" t="s">
        <v>2126</v>
      </c>
      <c r="M558">
        <v>8093</v>
      </c>
    </row>
    <row r="559" spans="6:13" x14ac:dyDescent="0.35">
      <c r="F559" s="483">
        <v>43143</v>
      </c>
      <c r="G559">
        <f t="shared" si="8"/>
        <v>2018</v>
      </c>
      <c r="H559" t="s">
        <v>1472</v>
      </c>
      <c r="I559" t="s">
        <v>885</v>
      </c>
      <c r="J559" t="s">
        <v>24</v>
      </c>
      <c r="K559" t="s">
        <v>882</v>
      </c>
      <c r="L559" t="s">
        <v>2124</v>
      </c>
      <c r="M559">
        <v>5085</v>
      </c>
    </row>
    <row r="560" spans="6:13" x14ac:dyDescent="0.35">
      <c r="F560" s="483">
        <v>43451</v>
      </c>
      <c r="G560">
        <f t="shared" si="8"/>
        <v>2018</v>
      </c>
      <c r="H560" t="s">
        <v>1473</v>
      </c>
      <c r="I560" t="s">
        <v>885</v>
      </c>
      <c r="J560" t="s">
        <v>33</v>
      </c>
      <c r="K560" t="s">
        <v>890</v>
      </c>
      <c r="L560" t="s">
        <v>2125</v>
      </c>
      <c r="M560">
        <v>1035</v>
      </c>
    </row>
    <row r="561" spans="6:13" x14ac:dyDescent="0.35">
      <c r="F561" s="483">
        <v>43420</v>
      </c>
      <c r="G561">
        <f t="shared" si="8"/>
        <v>2018</v>
      </c>
      <c r="H561" t="s">
        <v>1474</v>
      </c>
      <c r="I561" t="s">
        <v>885</v>
      </c>
      <c r="J561" t="s">
        <v>23</v>
      </c>
      <c r="K561" t="s">
        <v>882</v>
      </c>
      <c r="L561" t="s">
        <v>2132</v>
      </c>
      <c r="M561">
        <v>2927</v>
      </c>
    </row>
    <row r="562" spans="6:13" x14ac:dyDescent="0.35">
      <c r="F562" s="483">
        <v>42760</v>
      </c>
      <c r="G562">
        <f t="shared" si="8"/>
        <v>2017</v>
      </c>
      <c r="H562" t="s">
        <v>1475</v>
      </c>
      <c r="I562" t="s">
        <v>923</v>
      </c>
      <c r="J562" t="s">
        <v>35</v>
      </c>
      <c r="K562" t="s">
        <v>890</v>
      </c>
      <c r="L562" t="s">
        <v>2132</v>
      </c>
      <c r="M562">
        <v>7150</v>
      </c>
    </row>
    <row r="563" spans="6:13" x14ac:dyDescent="0.35">
      <c r="F563" s="483">
        <v>43041</v>
      </c>
      <c r="G563">
        <f t="shared" si="8"/>
        <v>2017</v>
      </c>
      <c r="H563" t="s">
        <v>1476</v>
      </c>
      <c r="I563" t="s">
        <v>982</v>
      </c>
      <c r="J563" t="s">
        <v>24</v>
      </c>
      <c r="K563" t="s">
        <v>907</v>
      </c>
      <c r="L563" t="s">
        <v>2124</v>
      </c>
      <c r="M563">
        <v>5337</v>
      </c>
    </row>
    <row r="564" spans="6:13" x14ac:dyDescent="0.35">
      <c r="F564" s="483">
        <v>43442</v>
      </c>
      <c r="G564">
        <f t="shared" si="8"/>
        <v>2018</v>
      </c>
      <c r="H564" t="s">
        <v>1477</v>
      </c>
      <c r="I564" t="s">
        <v>1028</v>
      </c>
      <c r="J564" t="s">
        <v>24</v>
      </c>
      <c r="K564" t="s">
        <v>890</v>
      </c>
      <c r="L564" t="s">
        <v>2126</v>
      </c>
      <c r="M564">
        <v>1724</v>
      </c>
    </row>
    <row r="565" spans="6:13" x14ac:dyDescent="0.35">
      <c r="F565" s="483">
        <v>43095</v>
      </c>
      <c r="G565">
        <f t="shared" si="8"/>
        <v>2017</v>
      </c>
      <c r="H565" t="s">
        <v>1478</v>
      </c>
      <c r="I565" t="s">
        <v>885</v>
      </c>
      <c r="J565" t="s">
        <v>31</v>
      </c>
      <c r="K565" t="s">
        <v>2123</v>
      </c>
      <c r="L565" t="s">
        <v>2131</v>
      </c>
      <c r="M565">
        <v>5803</v>
      </c>
    </row>
    <row r="566" spans="6:13" x14ac:dyDescent="0.35">
      <c r="F566" s="483">
        <v>42888</v>
      </c>
      <c r="G566">
        <f t="shared" si="8"/>
        <v>2017</v>
      </c>
      <c r="H566" t="s">
        <v>1479</v>
      </c>
      <c r="I566" t="s">
        <v>885</v>
      </c>
      <c r="J566" t="s">
        <v>28</v>
      </c>
      <c r="K566" t="s">
        <v>2123</v>
      </c>
      <c r="L566" t="s">
        <v>2132</v>
      </c>
      <c r="M566">
        <v>5686</v>
      </c>
    </row>
    <row r="567" spans="6:13" x14ac:dyDescent="0.35">
      <c r="F567" s="483">
        <v>43210</v>
      </c>
      <c r="G567">
        <f t="shared" si="8"/>
        <v>2018</v>
      </c>
      <c r="H567" t="s">
        <v>1480</v>
      </c>
      <c r="I567" t="s">
        <v>987</v>
      </c>
      <c r="J567" t="s">
        <v>33</v>
      </c>
      <c r="K567" t="s">
        <v>2123</v>
      </c>
      <c r="L567" t="s">
        <v>2129</v>
      </c>
      <c r="M567">
        <v>8089</v>
      </c>
    </row>
    <row r="568" spans="6:13" x14ac:dyDescent="0.35">
      <c r="F568" s="483">
        <v>43295</v>
      </c>
      <c r="G568">
        <f t="shared" si="8"/>
        <v>2018</v>
      </c>
      <c r="H568" t="s">
        <v>1481</v>
      </c>
      <c r="I568" t="s">
        <v>1018</v>
      </c>
      <c r="J568" t="s">
        <v>30</v>
      </c>
      <c r="K568" t="s">
        <v>907</v>
      </c>
      <c r="L568" t="s">
        <v>2133</v>
      </c>
      <c r="M568">
        <v>6058</v>
      </c>
    </row>
    <row r="569" spans="6:13" x14ac:dyDescent="0.35">
      <c r="F569" s="483">
        <v>43259</v>
      </c>
      <c r="G569">
        <f t="shared" si="8"/>
        <v>2018</v>
      </c>
      <c r="H569" t="s">
        <v>1482</v>
      </c>
      <c r="I569" t="s">
        <v>885</v>
      </c>
      <c r="J569" t="s">
        <v>31</v>
      </c>
      <c r="K569" t="s">
        <v>2123</v>
      </c>
      <c r="L569" t="s">
        <v>2124</v>
      </c>
      <c r="M569">
        <v>4949</v>
      </c>
    </row>
    <row r="570" spans="6:13" x14ac:dyDescent="0.35">
      <c r="F570" s="483">
        <v>43330</v>
      </c>
      <c r="G570">
        <f t="shared" si="8"/>
        <v>2018</v>
      </c>
      <c r="H570" t="s">
        <v>1483</v>
      </c>
      <c r="I570" t="s">
        <v>976</v>
      </c>
      <c r="J570" t="s">
        <v>30</v>
      </c>
      <c r="K570" t="s">
        <v>907</v>
      </c>
      <c r="L570" t="s">
        <v>2125</v>
      </c>
      <c r="M570">
        <v>6109</v>
      </c>
    </row>
    <row r="571" spans="6:13" x14ac:dyDescent="0.35">
      <c r="F571" s="483">
        <v>42747</v>
      </c>
      <c r="G571">
        <f t="shared" si="8"/>
        <v>2017</v>
      </c>
      <c r="H571" t="s">
        <v>1484</v>
      </c>
      <c r="I571" t="s">
        <v>925</v>
      </c>
      <c r="J571" t="s">
        <v>36</v>
      </c>
      <c r="K571" t="s">
        <v>882</v>
      </c>
      <c r="L571" t="s">
        <v>2131</v>
      </c>
      <c r="M571">
        <v>3523</v>
      </c>
    </row>
    <row r="572" spans="6:13" x14ac:dyDescent="0.35">
      <c r="F572" s="483">
        <v>43030</v>
      </c>
      <c r="G572">
        <f t="shared" si="8"/>
        <v>2017</v>
      </c>
      <c r="H572" t="s">
        <v>1485</v>
      </c>
      <c r="I572" t="s">
        <v>917</v>
      </c>
      <c r="J572" t="s">
        <v>35</v>
      </c>
      <c r="K572" t="s">
        <v>882</v>
      </c>
      <c r="L572" t="s">
        <v>2132</v>
      </c>
      <c r="M572">
        <v>4510</v>
      </c>
    </row>
    <row r="573" spans="6:13" x14ac:dyDescent="0.35">
      <c r="F573" s="483">
        <v>42766</v>
      </c>
      <c r="G573">
        <f t="shared" si="8"/>
        <v>2017</v>
      </c>
      <c r="H573" t="s">
        <v>1486</v>
      </c>
      <c r="I573" t="s">
        <v>885</v>
      </c>
      <c r="J573" t="s">
        <v>36</v>
      </c>
      <c r="K573" t="s">
        <v>890</v>
      </c>
      <c r="L573" t="s">
        <v>2132</v>
      </c>
      <c r="M573">
        <v>4503</v>
      </c>
    </row>
    <row r="574" spans="6:13" x14ac:dyDescent="0.35">
      <c r="F574" s="483">
        <v>42860</v>
      </c>
      <c r="G574">
        <f t="shared" si="8"/>
        <v>2017</v>
      </c>
      <c r="H574" t="s">
        <v>1487</v>
      </c>
      <c r="I574" t="s">
        <v>912</v>
      </c>
      <c r="J574" t="s">
        <v>32</v>
      </c>
      <c r="K574" t="s">
        <v>882</v>
      </c>
      <c r="L574" t="s">
        <v>2126</v>
      </c>
      <c r="M574">
        <v>5231</v>
      </c>
    </row>
    <row r="575" spans="6:13" x14ac:dyDescent="0.35">
      <c r="F575" s="483">
        <v>43015</v>
      </c>
      <c r="G575">
        <f t="shared" si="8"/>
        <v>2017</v>
      </c>
      <c r="H575" t="s">
        <v>1488</v>
      </c>
      <c r="I575" t="s">
        <v>885</v>
      </c>
      <c r="J575" t="s">
        <v>28</v>
      </c>
      <c r="K575" t="s">
        <v>882</v>
      </c>
      <c r="L575" t="s">
        <v>2131</v>
      </c>
      <c r="M575">
        <v>3932</v>
      </c>
    </row>
    <row r="576" spans="6:13" x14ac:dyDescent="0.35">
      <c r="F576" s="483">
        <v>43013</v>
      </c>
      <c r="G576">
        <f t="shared" si="8"/>
        <v>2017</v>
      </c>
      <c r="H576" t="s">
        <v>1489</v>
      </c>
      <c r="I576" t="s">
        <v>930</v>
      </c>
      <c r="J576" t="s">
        <v>34</v>
      </c>
      <c r="K576" t="s">
        <v>907</v>
      </c>
      <c r="L576" t="s">
        <v>2129</v>
      </c>
      <c r="M576">
        <v>4284</v>
      </c>
    </row>
    <row r="577" spans="6:13" x14ac:dyDescent="0.35">
      <c r="F577" s="483">
        <v>43329</v>
      </c>
      <c r="G577">
        <f t="shared" si="8"/>
        <v>2018</v>
      </c>
      <c r="H577" t="s">
        <v>1490</v>
      </c>
      <c r="I577" t="s">
        <v>1022</v>
      </c>
      <c r="J577" t="s">
        <v>31</v>
      </c>
      <c r="K577" t="s">
        <v>2123</v>
      </c>
      <c r="L577" t="s">
        <v>2127</v>
      </c>
      <c r="M577">
        <v>8696</v>
      </c>
    </row>
    <row r="578" spans="6:13" x14ac:dyDescent="0.35">
      <c r="F578" s="483">
        <v>43270</v>
      </c>
      <c r="G578">
        <f t="shared" si="8"/>
        <v>2018</v>
      </c>
      <c r="H578" t="s">
        <v>1491</v>
      </c>
      <c r="I578" t="s">
        <v>1131</v>
      </c>
      <c r="J578" t="s">
        <v>29</v>
      </c>
      <c r="K578" t="s">
        <v>907</v>
      </c>
      <c r="L578" t="s">
        <v>2132</v>
      </c>
      <c r="M578">
        <v>2023</v>
      </c>
    </row>
    <row r="579" spans="6:13" x14ac:dyDescent="0.35">
      <c r="F579" s="483">
        <v>43213</v>
      </c>
      <c r="G579">
        <f t="shared" si="8"/>
        <v>2018</v>
      </c>
      <c r="H579" t="s">
        <v>1492</v>
      </c>
      <c r="I579" t="s">
        <v>885</v>
      </c>
      <c r="J579" t="s">
        <v>23</v>
      </c>
      <c r="K579" t="s">
        <v>907</v>
      </c>
      <c r="L579" t="s">
        <v>2125</v>
      </c>
      <c r="M579">
        <v>1319</v>
      </c>
    </row>
    <row r="580" spans="6:13" x14ac:dyDescent="0.35">
      <c r="F580" s="483">
        <v>42900</v>
      </c>
      <c r="G580">
        <f t="shared" si="8"/>
        <v>2017</v>
      </c>
      <c r="H580" t="s">
        <v>1493</v>
      </c>
      <c r="I580" t="s">
        <v>917</v>
      </c>
      <c r="J580" t="s">
        <v>37</v>
      </c>
      <c r="K580" t="s">
        <v>882</v>
      </c>
      <c r="L580" t="s">
        <v>2132</v>
      </c>
      <c r="M580">
        <v>8596</v>
      </c>
    </row>
    <row r="581" spans="6:13" x14ac:dyDescent="0.35">
      <c r="F581" s="483">
        <v>43064</v>
      </c>
      <c r="G581">
        <f t="shared" si="8"/>
        <v>2017</v>
      </c>
      <c r="H581" t="s">
        <v>1494</v>
      </c>
      <c r="I581" t="s">
        <v>991</v>
      </c>
      <c r="J581" t="s">
        <v>31</v>
      </c>
      <c r="K581" t="s">
        <v>2123</v>
      </c>
      <c r="L581" t="s">
        <v>2125</v>
      </c>
      <c r="M581">
        <v>3135</v>
      </c>
    </row>
    <row r="582" spans="6:13" x14ac:dyDescent="0.35">
      <c r="F582" s="483">
        <v>43244</v>
      </c>
      <c r="G582">
        <f t="shared" si="8"/>
        <v>2018</v>
      </c>
      <c r="H582" t="s">
        <v>1495</v>
      </c>
      <c r="I582" t="s">
        <v>982</v>
      </c>
      <c r="J582" t="s">
        <v>30</v>
      </c>
      <c r="K582" t="s">
        <v>882</v>
      </c>
      <c r="L582" t="s">
        <v>2125</v>
      </c>
      <c r="M582">
        <v>3638</v>
      </c>
    </row>
    <row r="583" spans="6:13" x14ac:dyDescent="0.35">
      <c r="F583" s="483">
        <v>43091</v>
      </c>
      <c r="G583">
        <f t="shared" si="8"/>
        <v>2017</v>
      </c>
      <c r="H583" t="s">
        <v>1496</v>
      </c>
      <c r="I583" t="s">
        <v>1016</v>
      </c>
      <c r="J583" t="s">
        <v>23</v>
      </c>
      <c r="K583" t="s">
        <v>907</v>
      </c>
      <c r="L583" t="s">
        <v>2132</v>
      </c>
      <c r="M583">
        <v>5791</v>
      </c>
    </row>
    <row r="584" spans="6:13" x14ac:dyDescent="0.35">
      <c r="F584" s="483">
        <v>42788</v>
      </c>
      <c r="G584">
        <f t="shared" si="8"/>
        <v>2017</v>
      </c>
      <c r="H584" t="s">
        <v>1497</v>
      </c>
      <c r="I584" t="s">
        <v>885</v>
      </c>
      <c r="J584" t="s">
        <v>35</v>
      </c>
      <c r="K584" t="s">
        <v>890</v>
      </c>
      <c r="L584" t="s">
        <v>2133</v>
      </c>
      <c r="M584">
        <v>7211</v>
      </c>
    </row>
    <row r="585" spans="6:13" x14ac:dyDescent="0.35">
      <c r="F585" s="483">
        <v>42771</v>
      </c>
      <c r="G585">
        <f t="shared" si="8"/>
        <v>2017</v>
      </c>
      <c r="H585" t="s">
        <v>1498</v>
      </c>
      <c r="I585" t="s">
        <v>885</v>
      </c>
      <c r="J585" t="s">
        <v>29</v>
      </c>
      <c r="K585" t="s">
        <v>882</v>
      </c>
      <c r="L585" t="s">
        <v>2125</v>
      </c>
      <c r="M585">
        <v>8956</v>
      </c>
    </row>
    <row r="586" spans="6:13" x14ac:dyDescent="0.35">
      <c r="F586" s="483">
        <v>42808</v>
      </c>
      <c r="G586">
        <f t="shared" ref="G586:G649" si="9">YEAR(F586)</f>
        <v>2017</v>
      </c>
      <c r="H586" t="s">
        <v>1499</v>
      </c>
      <c r="I586" t="s">
        <v>1018</v>
      </c>
      <c r="J586" t="s">
        <v>28</v>
      </c>
      <c r="K586" t="s">
        <v>2123</v>
      </c>
      <c r="L586" t="s">
        <v>2133</v>
      </c>
      <c r="M586">
        <v>8879</v>
      </c>
    </row>
    <row r="587" spans="6:13" x14ac:dyDescent="0.35">
      <c r="F587" s="483">
        <v>43090</v>
      </c>
      <c r="G587">
        <f t="shared" si="9"/>
        <v>2017</v>
      </c>
      <c r="H587" t="s">
        <v>1500</v>
      </c>
      <c r="I587" t="s">
        <v>912</v>
      </c>
      <c r="J587" t="s">
        <v>29</v>
      </c>
      <c r="K587" t="s">
        <v>2123</v>
      </c>
      <c r="L587" t="s">
        <v>2133</v>
      </c>
      <c r="M587">
        <v>8383</v>
      </c>
    </row>
    <row r="588" spans="6:13" x14ac:dyDescent="0.35">
      <c r="F588" s="483">
        <v>43057</v>
      </c>
      <c r="G588">
        <f t="shared" si="9"/>
        <v>2017</v>
      </c>
      <c r="H588" t="s">
        <v>1501</v>
      </c>
      <c r="I588" t="s">
        <v>939</v>
      </c>
      <c r="J588" t="s">
        <v>38</v>
      </c>
      <c r="K588" t="s">
        <v>882</v>
      </c>
      <c r="L588" t="s">
        <v>2126</v>
      </c>
      <c r="M588">
        <v>5608</v>
      </c>
    </row>
    <row r="589" spans="6:13" x14ac:dyDescent="0.35">
      <c r="F589" s="483">
        <v>43031</v>
      </c>
      <c r="G589">
        <f t="shared" si="9"/>
        <v>2017</v>
      </c>
      <c r="H589" t="s">
        <v>1502</v>
      </c>
      <c r="I589" t="s">
        <v>885</v>
      </c>
      <c r="J589" t="s">
        <v>31</v>
      </c>
      <c r="K589" t="s">
        <v>890</v>
      </c>
      <c r="L589" t="s">
        <v>2133</v>
      </c>
      <c r="M589">
        <v>1018</v>
      </c>
    </row>
    <row r="590" spans="6:13" x14ac:dyDescent="0.35">
      <c r="F590" s="483">
        <v>43181</v>
      </c>
      <c r="G590">
        <f t="shared" si="9"/>
        <v>2018</v>
      </c>
      <c r="H590" t="s">
        <v>1503</v>
      </c>
      <c r="I590" t="s">
        <v>991</v>
      </c>
      <c r="J590" t="s">
        <v>32</v>
      </c>
      <c r="K590" t="s">
        <v>882</v>
      </c>
      <c r="L590" t="s">
        <v>2124</v>
      </c>
      <c r="M590">
        <v>7734</v>
      </c>
    </row>
    <row r="591" spans="6:13" x14ac:dyDescent="0.35">
      <c r="F591" s="483">
        <v>43211</v>
      </c>
      <c r="G591">
        <f t="shared" si="9"/>
        <v>2018</v>
      </c>
      <c r="H591" t="s">
        <v>1504</v>
      </c>
      <c r="I591" t="s">
        <v>885</v>
      </c>
      <c r="J591" t="s">
        <v>32</v>
      </c>
      <c r="K591" t="s">
        <v>890</v>
      </c>
      <c r="L591" t="s">
        <v>2126</v>
      </c>
      <c r="M591">
        <v>3102</v>
      </c>
    </row>
    <row r="592" spans="6:13" x14ac:dyDescent="0.35">
      <c r="F592" s="483">
        <v>43004</v>
      </c>
      <c r="G592">
        <f t="shared" si="9"/>
        <v>2017</v>
      </c>
      <c r="H592" t="s">
        <v>1505</v>
      </c>
      <c r="I592" t="s">
        <v>885</v>
      </c>
      <c r="J592" t="s">
        <v>36</v>
      </c>
      <c r="K592" t="s">
        <v>890</v>
      </c>
      <c r="L592" t="s">
        <v>2132</v>
      </c>
      <c r="M592">
        <v>7037</v>
      </c>
    </row>
    <row r="593" spans="6:13" x14ac:dyDescent="0.35">
      <c r="F593" s="483">
        <v>42929</v>
      </c>
      <c r="G593">
        <f t="shared" si="9"/>
        <v>2017</v>
      </c>
      <c r="H593" t="s">
        <v>1506</v>
      </c>
      <c r="I593" t="s">
        <v>885</v>
      </c>
      <c r="J593" t="s">
        <v>36</v>
      </c>
      <c r="K593" t="s">
        <v>890</v>
      </c>
      <c r="L593" t="s">
        <v>2131</v>
      </c>
      <c r="M593">
        <v>5056</v>
      </c>
    </row>
    <row r="594" spans="6:13" x14ac:dyDescent="0.35">
      <c r="F594" s="483">
        <v>42885</v>
      </c>
      <c r="G594">
        <f t="shared" si="9"/>
        <v>2017</v>
      </c>
      <c r="H594" t="s">
        <v>1507</v>
      </c>
      <c r="I594" t="s">
        <v>930</v>
      </c>
      <c r="J594" t="s">
        <v>32</v>
      </c>
      <c r="K594" t="s">
        <v>882</v>
      </c>
      <c r="L594" t="s">
        <v>2132</v>
      </c>
      <c r="M594">
        <v>6704</v>
      </c>
    </row>
    <row r="595" spans="6:13" x14ac:dyDescent="0.35">
      <c r="F595" s="483">
        <v>43329</v>
      </c>
      <c r="G595">
        <f t="shared" si="9"/>
        <v>2018</v>
      </c>
      <c r="H595" t="s">
        <v>1508</v>
      </c>
      <c r="I595" t="s">
        <v>885</v>
      </c>
      <c r="J595" t="s">
        <v>32</v>
      </c>
      <c r="K595" t="s">
        <v>882</v>
      </c>
      <c r="L595" t="s">
        <v>2130</v>
      </c>
      <c r="M595">
        <v>8645</v>
      </c>
    </row>
    <row r="596" spans="6:13" x14ac:dyDescent="0.35">
      <c r="F596" s="483">
        <v>43345</v>
      </c>
      <c r="G596">
        <f t="shared" si="9"/>
        <v>2018</v>
      </c>
      <c r="H596" t="s">
        <v>1509</v>
      </c>
      <c r="I596" t="s">
        <v>885</v>
      </c>
      <c r="J596" t="s">
        <v>30</v>
      </c>
      <c r="K596" t="s">
        <v>907</v>
      </c>
      <c r="L596" t="s">
        <v>2129</v>
      </c>
      <c r="M596">
        <v>7562</v>
      </c>
    </row>
    <row r="597" spans="6:13" x14ac:dyDescent="0.35">
      <c r="F597" s="483">
        <v>42868</v>
      </c>
      <c r="G597">
        <f t="shared" si="9"/>
        <v>2017</v>
      </c>
      <c r="H597" t="s">
        <v>1510</v>
      </c>
      <c r="I597" t="s">
        <v>885</v>
      </c>
      <c r="J597" t="s">
        <v>30</v>
      </c>
      <c r="K597" t="s">
        <v>907</v>
      </c>
      <c r="L597" t="s">
        <v>2124</v>
      </c>
      <c r="M597">
        <v>3955</v>
      </c>
    </row>
    <row r="598" spans="6:13" x14ac:dyDescent="0.35">
      <c r="F598" s="483">
        <v>42860</v>
      </c>
      <c r="G598">
        <f t="shared" si="9"/>
        <v>2017</v>
      </c>
      <c r="H598" t="s">
        <v>1511</v>
      </c>
      <c r="I598" t="s">
        <v>885</v>
      </c>
      <c r="J598" t="s">
        <v>24</v>
      </c>
      <c r="K598" t="s">
        <v>890</v>
      </c>
      <c r="L598" t="s">
        <v>2130</v>
      </c>
      <c r="M598">
        <v>4253</v>
      </c>
    </row>
    <row r="599" spans="6:13" x14ac:dyDescent="0.35">
      <c r="F599" s="483">
        <v>42942</v>
      </c>
      <c r="G599">
        <f t="shared" si="9"/>
        <v>2017</v>
      </c>
      <c r="H599" t="s">
        <v>1512</v>
      </c>
      <c r="I599" t="s">
        <v>957</v>
      </c>
      <c r="J599" t="s">
        <v>31</v>
      </c>
      <c r="K599" t="s">
        <v>907</v>
      </c>
      <c r="L599" t="s">
        <v>2125</v>
      </c>
      <c r="M599">
        <v>2405</v>
      </c>
    </row>
    <row r="600" spans="6:13" x14ac:dyDescent="0.35">
      <c r="F600" s="483">
        <v>43022</v>
      </c>
      <c r="G600">
        <f t="shared" si="9"/>
        <v>2017</v>
      </c>
      <c r="H600" t="s">
        <v>1513</v>
      </c>
      <c r="I600" t="s">
        <v>885</v>
      </c>
      <c r="J600" t="s">
        <v>32</v>
      </c>
      <c r="K600" t="s">
        <v>907</v>
      </c>
      <c r="L600" t="s">
        <v>2124</v>
      </c>
      <c r="M600">
        <v>2981</v>
      </c>
    </row>
    <row r="601" spans="6:13" x14ac:dyDescent="0.35">
      <c r="F601" s="483">
        <v>43268</v>
      </c>
      <c r="G601">
        <f t="shared" si="9"/>
        <v>2018</v>
      </c>
      <c r="H601" t="s">
        <v>1514</v>
      </c>
      <c r="I601" t="s">
        <v>885</v>
      </c>
      <c r="J601" t="s">
        <v>36</v>
      </c>
      <c r="K601" t="s">
        <v>890</v>
      </c>
      <c r="L601" t="s">
        <v>2126</v>
      </c>
      <c r="M601">
        <v>5541</v>
      </c>
    </row>
    <row r="602" spans="6:13" x14ac:dyDescent="0.35">
      <c r="F602" s="483">
        <v>42968</v>
      </c>
      <c r="G602">
        <f t="shared" si="9"/>
        <v>2017</v>
      </c>
      <c r="H602" t="s">
        <v>1515</v>
      </c>
      <c r="I602" t="s">
        <v>885</v>
      </c>
      <c r="J602" t="s">
        <v>37</v>
      </c>
      <c r="K602" t="s">
        <v>2123</v>
      </c>
      <c r="L602" t="s">
        <v>2129</v>
      </c>
      <c r="M602">
        <v>8087</v>
      </c>
    </row>
    <row r="603" spans="6:13" x14ac:dyDescent="0.35">
      <c r="F603" s="483">
        <v>43285</v>
      </c>
      <c r="G603">
        <f t="shared" si="9"/>
        <v>2018</v>
      </c>
      <c r="H603" t="s">
        <v>1516</v>
      </c>
      <c r="I603" t="s">
        <v>885</v>
      </c>
      <c r="J603" t="s">
        <v>26</v>
      </c>
      <c r="K603" t="s">
        <v>907</v>
      </c>
      <c r="L603" t="s">
        <v>2127</v>
      </c>
      <c r="M603">
        <v>4836</v>
      </c>
    </row>
    <row r="604" spans="6:13" x14ac:dyDescent="0.35">
      <c r="F604" s="483">
        <v>43367</v>
      </c>
      <c r="G604">
        <f t="shared" si="9"/>
        <v>2018</v>
      </c>
      <c r="H604" t="s">
        <v>1517</v>
      </c>
      <c r="I604" t="s">
        <v>1131</v>
      </c>
      <c r="J604" t="s">
        <v>24</v>
      </c>
      <c r="K604" t="s">
        <v>882</v>
      </c>
      <c r="L604" t="s">
        <v>2129</v>
      </c>
      <c r="M604">
        <v>3760</v>
      </c>
    </row>
    <row r="605" spans="6:13" x14ac:dyDescent="0.35">
      <c r="F605" s="483">
        <v>43356</v>
      </c>
      <c r="G605">
        <f t="shared" si="9"/>
        <v>2018</v>
      </c>
      <c r="H605" t="s">
        <v>1518</v>
      </c>
      <c r="I605" t="s">
        <v>885</v>
      </c>
      <c r="J605" t="s">
        <v>29</v>
      </c>
      <c r="K605" t="s">
        <v>882</v>
      </c>
      <c r="L605" t="s">
        <v>2127</v>
      </c>
      <c r="M605">
        <v>5214</v>
      </c>
    </row>
    <row r="606" spans="6:13" x14ac:dyDescent="0.35">
      <c r="F606" s="483">
        <v>43307</v>
      </c>
      <c r="G606">
        <f t="shared" si="9"/>
        <v>2018</v>
      </c>
      <c r="H606" t="s">
        <v>1519</v>
      </c>
      <c r="I606" t="s">
        <v>885</v>
      </c>
      <c r="J606" t="s">
        <v>28</v>
      </c>
      <c r="K606" t="s">
        <v>907</v>
      </c>
      <c r="L606" t="s">
        <v>2128</v>
      </c>
      <c r="M606">
        <v>2639</v>
      </c>
    </row>
    <row r="607" spans="6:13" x14ac:dyDescent="0.35">
      <c r="F607" s="483">
        <v>43363</v>
      </c>
      <c r="G607">
        <f t="shared" si="9"/>
        <v>2018</v>
      </c>
      <c r="H607" t="s">
        <v>1520</v>
      </c>
      <c r="I607" t="s">
        <v>885</v>
      </c>
      <c r="J607" t="s">
        <v>31</v>
      </c>
      <c r="K607" t="s">
        <v>882</v>
      </c>
      <c r="L607" t="s">
        <v>2130</v>
      </c>
      <c r="M607">
        <v>4868</v>
      </c>
    </row>
    <row r="608" spans="6:13" x14ac:dyDescent="0.35">
      <c r="F608" s="483">
        <v>42847</v>
      </c>
      <c r="G608">
        <f t="shared" si="9"/>
        <v>2017</v>
      </c>
      <c r="H608" t="s">
        <v>1521</v>
      </c>
      <c r="I608" t="s">
        <v>1016</v>
      </c>
      <c r="J608" t="s">
        <v>23</v>
      </c>
      <c r="K608" t="s">
        <v>907</v>
      </c>
      <c r="L608" t="s">
        <v>2129</v>
      </c>
      <c r="M608">
        <v>2103</v>
      </c>
    </row>
    <row r="609" spans="6:13" x14ac:dyDescent="0.35">
      <c r="F609" s="483">
        <v>43189</v>
      </c>
      <c r="G609">
        <f t="shared" si="9"/>
        <v>2018</v>
      </c>
      <c r="H609" t="s">
        <v>1522</v>
      </c>
      <c r="I609" t="s">
        <v>939</v>
      </c>
      <c r="J609" t="s">
        <v>33</v>
      </c>
      <c r="K609" t="s">
        <v>907</v>
      </c>
      <c r="L609" t="s">
        <v>2124</v>
      </c>
      <c r="M609">
        <v>5014</v>
      </c>
    </row>
    <row r="610" spans="6:13" x14ac:dyDescent="0.35">
      <c r="F610" s="483">
        <v>43290</v>
      </c>
      <c r="G610">
        <f t="shared" si="9"/>
        <v>2018</v>
      </c>
      <c r="H610" t="s">
        <v>1523</v>
      </c>
      <c r="I610" t="s">
        <v>930</v>
      </c>
      <c r="J610" t="s">
        <v>35</v>
      </c>
      <c r="K610" t="s">
        <v>2123</v>
      </c>
      <c r="L610" t="s">
        <v>2130</v>
      </c>
      <c r="M610">
        <v>6393</v>
      </c>
    </row>
    <row r="611" spans="6:13" x14ac:dyDescent="0.35">
      <c r="F611" s="483">
        <v>43454</v>
      </c>
      <c r="G611">
        <f t="shared" si="9"/>
        <v>2018</v>
      </c>
      <c r="H611" t="s">
        <v>1524</v>
      </c>
      <c r="I611" t="s">
        <v>982</v>
      </c>
      <c r="J611" t="s">
        <v>30</v>
      </c>
      <c r="K611" t="s">
        <v>2123</v>
      </c>
      <c r="L611" t="s">
        <v>2126</v>
      </c>
      <c r="M611">
        <v>1522</v>
      </c>
    </row>
    <row r="612" spans="6:13" x14ac:dyDescent="0.35">
      <c r="F612" s="483">
        <v>43280</v>
      </c>
      <c r="G612">
        <f t="shared" si="9"/>
        <v>2018</v>
      </c>
      <c r="H612" t="s">
        <v>1525</v>
      </c>
      <c r="I612" t="s">
        <v>885</v>
      </c>
      <c r="J612" t="s">
        <v>34</v>
      </c>
      <c r="K612" t="s">
        <v>890</v>
      </c>
      <c r="L612" t="s">
        <v>2133</v>
      </c>
      <c r="M612">
        <v>2574</v>
      </c>
    </row>
    <row r="613" spans="6:13" x14ac:dyDescent="0.35">
      <c r="F613" s="483">
        <v>43040</v>
      </c>
      <c r="G613">
        <f t="shared" si="9"/>
        <v>2017</v>
      </c>
      <c r="H613" t="s">
        <v>1526</v>
      </c>
      <c r="I613" t="s">
        <v>1210</v>
      </c>
      <c r="J613" t="s">
        <v>26</v>
      </c>
      <c r="K613" t="s">
        <v>907</v>
      </c>
      <c r="L613" t="s">
        <v>2131</v>
      </c>
      <c r="M613">
        <v>2801</v>
      </c>
    </row>
    <row r="614" spans="6:13" x14ac:dyDescent="0.35">
      <c r="F614" s="483">
        <v>43434</v>
      </c>
      <c r="G614">
        <f t="shared" si="9"/>
        <v>2018</v>
      </c>
      <c r="H614" t="s">
        <v>1527</v>
      </c>
      <c r="I614" t="s">
        <v>885</v>
      </c>
      <c r="J614" t="s">
        <v>35</v>
      </c>
      <c r="K614" t="s">
        <v>907</v>
      </c>
      <c r="L614" t="s">
        <v>2131</v>
      </c>
      <c r="M614">
        <v>3244</v>
      </c>
    </row>
    <row r="615" spans="6:13" x14ac:dyDescent="0.35">
      <c r="F615" s="483">
        <v>43084</v>
      </c>
      <c r="G615">
        <f t="shared" si="9"/>
        <v>2017</v>
      </c>
      <c r="H615" t="s">
        <v>1528</v>
      </c>
      <c r="I615" t="s">
        <v>1016</v>
      </c>
      <c r="J615" t="s">
        <v>35</v>
      </c>
      <c r="K615" t="s">
        <v>907</v>
      </c>
      <c r="L615" t="s">
        <v>2131</v>
      </c>
      <c r="M615">
        <v>8687</v>
      </c>
    </row>
    <row r="616" spans="6:13" x14ac:dyDescent="0.35">
      <c r="F616" s="483">
        <v>42946</v>
      </c>
      <c r="G616">
        <f t="shared" si="9"/>
        <v>2017</v>
      </c>
      <c r="H616" t="s">
        <v>1529</v>
      </c>
      <c r="I616" t="s">
        <v>885</v>
      </c>
      <c r="J616" t="s">
        <v>38</v>
      </c>
      <c r="K616" t="s">
        <v>2123</v>
      </c>
      <c r="L616" t="s">
        <v>2131</v>
      </c>
      <c r="M616">
        <v>1204</v>
      </c>
    </row>
    <row r="617" spans="6:13" x14ac:dyDescent="0.35">
      <c r="F617" s="483">
        <v>43145</v>
      </c>
      <c r="G617">
        <f t="shared" si="9"/>
        <v>2018</v>
      </c>
      <c r="H617" t="s">
        <v>1530</v>
      </c>
      <c r="I617" t="s">
        <v>885</v>
      </c>
      <c r="J617" t="s">
        <v>23</v>
      </c>
      <c r="K617" t="s">
        <v>907</v>
      </c>
      <c r="L617" t="s">
        <v>2132</v>
      </c>
      <c r="M617">
        <v>3747</v>
      </c>
    </row>
    <row r="618" spans="6:13" x14ac:dyDescent="0.35">
      <c r="F618" s="483">
        <v>42767</v>
      </c>
      <c r="G618">
        <f t="shared" si="9"/>
        <v>2017</v>
      </c>
      <c r="H618" t="s">
        <v>1531</v>
      </c>
      <c r="I618" t="s">
        <v>885</v>
      </c>
      <c r="J618" t="s">
        <v>26</v>
      </c>
      <c r="K618" t="s">
        <v>2123</v>
      </c>
      <c r="L618" t="s">
        <v>2132</v>
      </c>
      <c r="M618">
        <v>1524</v>
      </c>
    </row>
    <row r="619" spans="6:13" x14ac:dyDescent="0.35">
      <c r="F619" s="483">
        <v>43159</v>
      </c>
      <c r="G619">
        <f t="shared" si="9"/>
        <v>2018</v>
      </c>
      <c r="H619" t="s">
        <v>1532</v>
      </c>
      <c r="I619" t="s">
        <v>885</v>
      </c>
      <c r="J619" t="s">
        <v>37</v>
      </c>
      <c r="K619" t="s">
        <v>907</v>
      </c>
      <c r="L619" t="s">
        <v>2133</v>
      </c>
      <c r="M619">
        <v>1994</v>
      </c>
    </row>
    <row r="620" spans="6:13" x14ac:dyDescent="0.35">
      <c r="F620" s="483">
        <v>42805</v>
      </c>
      <c r="G620">
        <f t="shared" si="9"/>
        <v>2017</v>
      </c>
      <c r="H620" t="s">
        <v>1533</v>
      </c>
      <c r="I620" t="s">
        <v>895</v>
      </c>
      <c r="J620" t="s">
        <v>34</v>
      </c>
      <c r="K620" t="s">
        <v>2123</v>
      </c>
      <c r="L620" t="s">
        <v>2125</v>
      </c>
      <c r="M620">
        <v>6830</v>
      </c>
    </row>
    <row r="621" spans="6:13" x14ac:dyDescent="0.35">
      <c r="F621" s="483">
        <v>42802</v>
      </c>
      <c r="G621">
        <f t="shared" si="9"/>
        <v>2017</v>
      </c>
      <c r="H621" t="s">
        <v>1534</v>
      </c>
      <c r="I621" t="s">
        <v>893</v>
      </c>
      <c r="J621" t="s">
        <v>24</v>
      </c>
      <c r="K621" t="s">
        <v>882</v>
      </c>
      <c r="L621" t="s">
        <v>2130</v>
      </c>
      <c r="M621">
        <v>3101</v>
      </c>
    </row>
    <row r="622" spans="6:13" x14ac:dyDescent="0.35">
      <c r="F622" s="483">
        <v>43427</v>
      </c>
      <c r="G622">
        <f t="shared" si="9"/>
        <v>2018</v>
      </c>
      <c r="H622" t="s">
        <v>1535</v>
      </c>
      <c r="I622" t="s">
        <v>1028</v>
      </c>
      <c r="J622" t="s">
        <v>34</v>
      </c>
      <c r="K622" t="s">
        <v>882</v>
      </c>
      <c r="L622" t="s">
        <v>2124</v>
      </c>
      <c r="M622">
        <v>1757</v>
      </c>
    </row>
    <row r="623" spans="6:13" x14ac:dyDescent="0.35">
      <c r="F623" s="483">
        <v>42973</v>
      </c>
      <c r="G623">
        <f t="shared" si="9"/>
        <v>2017</v>
      </c>
      <c r="H623" t="s">
        <v>1536</v>
      </c>
      <c r="I623" t="s">
        <v>885</v>
      </c>
      <c r="J623" t="s">
        <v>35</v>
      </c>
      <c r="K623" t="s">
        <v>890</v>
      </c>
      <c r="L623" t="s">
        <v>2124</v>
      </c>
      <c r="M623">
        <v>5761</v>
      </c>
    </row>
    <row r="624" spans="6:13" x14ac:dyDescent="0.35">
      <c r="F624" s="483">
        <v>42924</v>
      </c>
      <c r="G624">
        <f t="shared" si="9"/>
        <v>2017</v>
      </c>
      <c r="H624" t="s">
        <v>1537</v>
      </c>
      <c r="I624" t="s">
        <v>885</v>
      </c>
      <c r="J624" t="s">
        <v>29</v>
      </c>
      <c r="K624" t="s">
        <v>907</v>
      </c>
      <c r="L624" t="s">
        <v>2131</v>
      </c>
      <c r="M624">
        <v>3915</v>
      </c>
    </row>
    <row r="625" spans="6:13" x14ac:dyDescent="0.35">
      <c r="F625" s="483">
        <v>42946</v>
      </c>
      <c r="G625">
        <f t="shared" si="9"/>
        <v>2017</v>
      </c>
      <c r="H625" t="s">
        <v>1538</v>
      </c>
      <c r="I625" t="s">
        <v>885</v>
      </c>
      <c r="J625" t="s">
        <v>29</v>
      </c>
      <c r="K625" t="s">
        <v>882</v>
      </c>
      <c r="L625" t="s">
        <v>2129</v>
      </c>
      <c r="M625">
        <v>5131</v>
      </c>
    </row>
    <row r="626" spans="6:13" x14ac:dyDescent="0.35">
      <c r="F626" s="483">
        <v>43039</v>
      </c>
      <c r="G626">
        <f t="shared" si="9"/>
        <v>2017</v>
      </c>
      <c r="H626" t="s">
        <v>1539</v>
      </c>
      <c r="I626" t="s">
        <v>885</v>
      </c>
      <c r="J626" t="s">
        <v>30</v>
      </c>
      <c r="K626" t="s">
        <v>907</v>
      </c>
      <c r="L626" t="s">
        <v>2128</v>
      </c>
      <c r="M626">
        <v>8275</v>
      </c>
    </row>
    <row r="627" spans="6:13" x14ac:dyDescent="0.35">
      <c r="F627" s="483">
        <v>43056</v>
      </c>
      <c r="G627">
        <f t="shared" si="9"/>
        <v>2017</v>
      </c>
      <c r="H627" t="s">
        <v>1540</v>
      </c>
      <c r="I627" t="s">
        <v>885</v>
      </c>
      <c r="J627" t="s">
        <v>32</v>
      </c>
      <c r="K627" t="s">
        <v>882</v>
      </c>
      <c r="L627" t="s">
        <v>2129</v>
      </c>
      <c r="M627">
        <v>3098</v>
      </c>
    </row>
    <row r="628" spans="6:13" x14ac:dyDescent="0.35">
      <c r="F628" s="483">
        <v>43460</v>
      </c>
      <c r="G628">
        <f t="shared" si="9"/>
        <v>2018</v>
      </c>
      <c r="H628" t="s">
        <v>1541</v>
      </c>
      <c r="I628" t="s">
        <v>906</v>
      </c>
      <c r="J628" t="s">
        <v>29</v>
      </c>
      <c r="K628" t="s">
        <v>890</v>
      </c>
      <c r="L628" t="s">
        <v>2126</v>
      </c>
      <c r="M628">
        <v>5024</v>
      </c>
    </row>
    <row r="629" spans="6:13" x14ac:dyDescent="0.35">
      <c r="F629" s="483">
        <v>42944</v>
      </c>
      <c r="G629">
        <f t="shared" si="9"/>
        <v>2017</v>
      </c>
      <c r="H629" t="s">
        <v>1542</v>
      </c>
      <c r="I629" t="s">
        <v>987</v>
      </c>
      <c r="J629" t="s">
        <v>33</v>
      </c>
      <c r="K629" t="s">
        <v>882</v>
      </c>
      <c r="L629" t="s">
        <v>2126</v>
      </c>
      <c r="M629">
        <v>5141</v>
      </c>
    </row>
    <row r="630" spans="6:13" x14ac:dyDescent="0.35">
      <c r="F630" s="483">
        <v>43415</v>
      </c>
      <c r="G630">
        <f t="shared" si="9"/>
        <v>2018</v>
      </c>
      <c r="H630" t="s">
        <v>1543</v>
      </c>
      <c r="I630" t="s">
        <v>885</v>
      </c>
      <c r="J630" t="s">
        <v>37</v>
      </c>
      <c r="K630" t="s">
        <v>2123</v>
      </c>
      <c r="L630" t="s">
        <v>2127</v>
      </c>
      <c r="M630">
        <v>7352</v>
      </c>
    </row>
    <row r="631" spans="6:13" x14ac:dyDescent="0.35">
      <c r="F631" s="483">
        <v>43426</v>
      </c>
      <c r="G631">
        <f t="shared" si="9"/>
        <v>2018</v>
      </c>
      <c r="H631" t="s">
        <v>1544</v>
      </c>
      <c r="I631" t="s">
        <v>885</v>
      </c>
      <c r="J631" t="s">
        <v>23</v>
      </c>
      <c r="K631" t="s">
        <v>882</v>
      </c>
      <c r="L631" t="s">
        <v>2129</v>
      </c>
      <c r="M631">
        <v>2028</v>
      </c>
    </row>
    <row r="632" spans="6:13" x14ac:dyDescent="0.35">
      <c r="F632" s="483">
        <v>42758</v>
      </c>
      <c r="G632">
        <f t="shared" si="9"/>
        <v>2017</v>
      </c>
      <c r="H632" t="s">
        <v>1545</v>
      </c>
      <c r="I632" t="s">
        <v>895</v>
      </c>
      <c r="J632" t="s">
        <v>37</v>
      </c>
      <c r="K632" t="s">
        <v>2123</v>
      </c>
      <c r="L632" t="s">
        <v>2130</v>
      </c>
      <c r="M632">
        <v>5295</v>
      </c>
    </row>
    <row r="633" spans="6:13" x14ac:dyDescent="0.35">
      <c r="F633" s="483">
        <v>42919</v>
      </c>
      <c r="G633">
        <f t="shared" si="9"/>
        <v>2017</v>
      </c>
      <c r="H633" t="s">
        <v>1546</v>
      </c>
      <c r="I633" t="s">
        <v>885</v>
      </c>
      <c r="J633" t="s">
        <v>30</v>
      </c>
      <c r="K633" t="s">
        <v>882</v>
      </c>
      <c r="L633" t="s">
        <v>2125</v>
      </c>
      <c r="M633">
        <v>4894</v>
      </c>
    </row>
    <row r="634" spans="6:13" x14ac:dyDescent="0.35">
      <c r="F634" s="483">
        <v>43228</v>
      </c>
      <c r="G634">
        <f t="shared" si="9"/>
        <v>2018</v>
      </c>
      <c r="H634" t="s">
        <v>1547</v>
      </c>
      <c r="I634" t="s">
        <v>885</v>
      </c>
      <c r="J634" t="s">
        <v>34</v>
      </c>
      <c r="K634" t="s">
        <v>890</v>
      </c>
      <c r="L634" t="s">
        <v>2133</v>
      </c>
      <c r="M634">
        <v>6451</v>
      </c>
    </row>
    <row r="635" spans="6:13" x14ac:dyDescent="0.35">
      <c r="F635" s="483">
        <v>42875</v>
      </c>
      <c r="G635">
        <f t="shared" si="9"/>
        <v>2017</v>
      </c>
      <c r="H635" t="s">
        <v>1548</v>
      </c>
      <c r="I635" t="s">
        <v>885</v>
      </c>
      <c r="J635" t="s">
        <v>24</v>
      </c>
      <c r="K635" t="s">
        <v>2123</v>
      </c>
      <c r="L635" t="s">
        <v>2133</v>
      </c>
      <c r="M635">
        <v>1119</v>
      </c>
    </row>
    <row r="636" spans="6:13" x14ac:dyDescent="0.35">
      <c r="F636" s="483">
        <v>43450</v>
      </c>
      <c r="G636">
        <f t="shared" si="9"/>
        <v>2018</v>
      </c>
      <c r="H636" t="s">
        <v>1549</v>
      </c>
      <c r="I636" t="s">
        <v>923</v>
      </c>
      <c r="J636" t="s">
        <v>37</v>
      </c>
      <c r="K636" t="s">
        <v>907</v>
      </c>
      <c r="L636" t="s">
        <v>2133</v>
      </c>
      <c r="M636">
        <v>5396</v>
      </c>
    </row>
    <row r="637" spans="6:13" x14ac:dyDescent="0.35">
      <c r="F637" s="483">
        <v>43190</v>
      </c>
      <c r="G637">
        <f t="shared" si="9"/>
        <v>2018</v>
      </c>
      <c r="H637" t="s">
        <v>1550</v>
      </c>
      <c r="I637" t="s">
        <v>885</v>
      </c>
      <c r="J637" t="s">
        <v>33</v>
      </c>
      <c r="K637" t="s">
        <v>890</v>
      </c>
      <c r="L637" t="s">
        <v>2130</v>
      </c>
      <c r="M637">
        <v>8606</v>
      </c>
    </row>
    <row r="638" spans="6:13" x14ac:dyDescent="0.35">
      <c r="F638" s="483">
        <v>42891</v>
      </c>
      <c r="G638">
        <f t="shared" si="9"/>
        <v>2017</v>
      </c>
      <c r="H638" t="s">
        <v>1551</v>
      </c>
      <c r="I638" t="s">
        <v>885</v>
      </c>
      <c r="J638" t="s">
        <v>38</v>
      </c>
      <c r="K638" t="s">
        <v>907</v>
      </c>
      <c r="L638" t="s">
        <v>2129</v>
      </c>
      <c r="M638">
        <v>8159</v>
      </c>
    </row>
    <row r="639" spans="6:13" x14ac:dyDescent="0.35">
      <c r="F639" s="483">
        <v>42798</v>
      </c>
      <c r="G639">
        <f t="shared" si="9"/>
        <v>2017</v>
      </c>
      <c r="H639" t="s">
        <v>1552</v>
      </c>
      <c r="I639" t="s">
        <v>885</v>
      </c>
      <c r="J639" t="s">
        <v>38</v>
      </c>
      <c r="K639" t="s">
        <v>2123</v>
      </c>
      <c r="L639" t="s">
        <v>2127</v>
      </c>
      <c r="M639">
        <v>5425</v>
      </c>
    </row>
    <row r="640" spans="6:13" x14ac:dyDescent="0.35">
      <c r="F640" s="483">
        <v>43025</v>
      </c>
      <c r="G640">
        <f t="shared" si="9"/>
        <v>2017</v>
      </c>
      <c r="H640" t="s">
        <v>1553</v>
      </c>
      <c r="I640" t="s">
        <v>885</v>
      </c>
      <c r="J640" t="s">
        <v>33</v>
      </c>
      <c r="K640" t="s">
        <v>2123</v>
      </c>
      <c r="L640" t="s">
        <v>2126</v>
      </c>
      <c r="M640">
        <v>5914</v>
      </c>
    </row>
    <row r="641" spans="6:13" x14ac:dyDescent="0.35">
      <c r="F641" s="483">
        <v>43281</v>
      </c>
      <c r="G641">
        <f t="shared" si="9"/>
        <v>2018</v>
      </c>
      <c r="H641" t="s">
        <v>1554</v>
      </c>
      <c r="I641" t="s">
        <v>923</v>
      </c>
      <c r="J641" t="s">
        <v>37</v>
      </c>
      <c r="K641" t="s">
        <v>882</v>
      </c>
      <c r="L641" t="s">
        <v>2130</v>
      </c>
      <c r="M641">
        <v>3793</v>
      </c>
    </row>
    <row r="642" spans="6:13" x14ac:dyDescent="0.35">
      <c r="F642" s="483">
        <v>43261</v>
      </c>
      <c r="G642">
        <f t="shared" si="9"/>
        <v>2018</v>
      </c>
      <c r="H642" t="s">
        <v>1555</v>
      </c>
      <c r="I642" t="s">
        <v>1210</v>
      </c>
      <c r="J642" t="s">
        <v>31</v>
      </c>
      <c r="K642" t="s">
        <v>2123</v>
      </c>
      <c r="L642" t="s">
        <v>2133</v>
      </c>
      <c r="M642">
        <v>8632</v>
      </c>
    </row>
    <row r="643" spans="6:13" x14ac:dyDescent="0.35">
      <c r="F643" s="483">
        <v>42908</v>
      </c>
      <c r="G643">
        <f t="shared" si="9"/>
        <v>2017</v>
      </c>
      <c r="H643" t="s">
        <v>1556</v>
      </c>
      <c r="I643" t="s">
        <v>885</v>
      </c>
      <c r="J643" t="s">
        <v>32</v>
      </c>
      <c r="K643" t="s">
        <v>890</v>
      </c>
      <c r="L643" t="s">
        <v>2130</v>
      </c>
      <c r="M643">
        <v>6285</v>
      </c>
    </row>
    <row r="644" spans="6:13" x14ac:dyDescent="0.35">
      <c r="F644" s="483">
        <v>43104</v>
      </c>
      <c r="G644">
        <f t="shared" si="9"/>
        <v>2018</v>
      </c>
      <c r="H644" t="s">
        <v>1557</v>
      </c>
      <c r="I644" t="s">
        <v>885</v>
      </c>
      <c r="J644" t="s">
        <v>36</v>
      </c>
      <c r="K644" t="s">
        <v>2123</v>
      </c>
      <c r="L644" t="s">
        <v>2133</v>
      </c>
      <c r="M644">
        <v>5600</v>
      </c>
    </row>
    <row r="645" spans="6:13" x14ac:dyDescent="0.35">
      <c r="F645" s="483">
        <v>43204</v>
      </c>
      <c r="G645">
        <f t="shared" si="9"/>
        <v>2018</v>
      </c>
      <c r="H645" t="s">
        <v>1558</v>
      </c>
      <c r="I645" t="s">
        <v>885</v>
      </c>
      <c r="J645" t="s">
        <v>26</v>
      </c>
      <c r="K645" t="s">
        <v>890</v>
      </c>
      <c r="L645" t="s">
        <v>2127</v>
      </c>
      <c r="M645">
        <v>3305</v>
      </c>
    </row>
    <row r="646" spans="6:13" x14ac:dyDescent="0.35">
      <c r="F646" s="483">
        <v>43276</v>
      </c>
      <c r="G646">
        <f t="shared" si="9"/>
        <v>2018</v>
      </c>
      <c r="H646" t="s">
        <v>1559</v>
      </c>
      <c r="I646" t="s">
        <v>906</v>
      </c>
      <c r="J646" t="s">
        <v>32</v>
      </c>
      <c r="K646" t="s">
        <v>2123</v>
      </c>
      <c r="L646" t="s">
        <v>2133</v>
      </c>
      <c r="M646">
        <v>7298</v>
      </c>
    </row>
    <row r="647" spans="6:13" x14ac:dyDescent="0.35">
      <c r="F647" s="483">
        <v>42942</v>
      </c>
      <c r="G647">
        <f t="shared" si="9"/>
        <v>2017</v>
      </c>
      <c r="H647" t="s">
        <v>1560</v>
      </c>
      <c r="I647" t="s">
        <v>885</v>
      </c>
      <c r="J647" t="s">
        <v>28</v>
      </c>
      <c r="K647" t="s">
        <v>907</v>
      </c>
      <c r="L647" t="s">
        <v>2132</v>
      </c>
      <c r="M647">
        <v>5462</v>
      </c>
    </row>
    <row r="648" spans="6:13" x14ac:dyDescent="0.35">
      <c r="F648" s="483">
        <v>43006</v>
      </c>
      <c r="G648">
        <f t="shared" si="9"/>
        <v>2017</v>
      </c>
      <c r="H648" t="s">
        <v>1561</v>
      </c>
      <c r="I648" t="s">
        <v>885</v>
      </c>
      <c r="J648" t="s">
        <v>33</v>
      </c>
      <c r="K648" t="s">
        <v>2123</v>
      </c>
      <c r="L648" t="s">
        <v>2133</v>
      </c>
      <c r="M648">
        <v>6301</v>
      </c>
    </row>
    <row r="649" spans="6:13" x14ac:dyDescent="0.35">
      <c r="F649" s="483">
        <v>42844</v>
      </c>
      <c r="G649">
        <f t="shared" si="9"/>
        <v>2017</v>
      </c>
      <c r="H649" t="s">
        <v>1562</v>
      </c>
      <c r="I649" t="s">
        <v>893</v>
      </c>
      <c r="J649" t="s">
        <v>24</v>
      </c>
      <c r="K649" t="s">
        <v>890</v>
      </c>
      <c r="L649" t="s">
        <v>2124</v>
      </c>
      <c r="M649">
        <v>8674</v>
      </c>
    </row>
    <row r="650" spans="6:13" x14ac:dyDescent="0.35">
      <c r="F650" s="483">
        <v>43303</v>
      </c>
      <c r="G650">
        <f t="shared" ref="G650:G713" si="10">YEAR(F650)</f>
        <v>2018</v>
      </c>
      <c r="H650" t="s">
        <v>1563</v>
      </c>
      <c r="I650" t="s">
        <v>923</v>
      </c>
      <c r="J650" t="s">
        <v>24</v>
      </c>
      <c r="K650" t="s">
        <v>890</v>
      </c>
      <c r="L650" t="s">
        <v>2128</v>
      </c>
      <c r="M650">
        <v>3304</v>
      </c>
    </row>
    <row r="651" spans="6:13" x14ac:dyDescent="0.35">
      <c r="F651" s="483">
        <v>42933</v>
      </c>
      <c r="G651">
        <f t="shared" si="10"/>
        <v>2017</v>
      </c>
      <c r="H651" t="s">
        <v>1564</v>
      </c>
      <c r="I651" t="s">
        <v>885</v>
      </c>
      <c r="J651" t="s">
        <v>38</v>
      </c>
      <c r="K651" t="s">
        <v>882</v>
      </c>
      <c r="L651" t="s">
        <v>2128</v>
      </c>
      <c r="M651">
        <v>8227</v>
      </c>
    </row>
    <row r="652" spans="6:13" x14ac:dyDescent="0.35">
      <c r="F652" s="483">
        <v>42757</v>
      </c>
      <c r="G652">
        <f t="shared" si="10"/>
        <v>2017</v>
      </c>
      <c r="H652" t="s">
        <v>1565</v>
      </c>
      <c r="I652" t="s">
        <v>885</v>
      </c>
      <c r="J652" t="s">
        <v>30</v>
      </c>
      <c r="K652" t="s">
        <v>890</v>
      </c>
      <c r="L652" t="s">
        <v>2128</v>
      </c>
      <c r="M652">
        <v>8334</v>
      </c>
    </row>
    <row r="653" spans="6:13" x14ac:dyDescent="0.35">
      <c r="F653" s="483">
        <v>43249</v>
      </c>
      <c r="G653">
        <f t="shared" si="10"/>
        <v>2018</v>
      </c>
      <c r="H653" t="s">
        <v>1566</v>
      </c>
      <c r="I653" t="s">
        <v>885</v>
      </c>
      <c r="J653" t="s">
        <v>23</v>
      </c>
      <c r="K653" t="s">
        <v>907</v>
      </c>
      <c r="L653" t="s">
        <v>2129</v>
      </c>
      <c r="M653">
        <v>3073</v>
      </c>
    </row>
    <row r="654" spans="6:13" x14ac:dyDescent="0.35">
      <c r="F654" s="483">
        <v>43211</v>
      </c>
      <c r="G654">
        <f t="shared" si="10"/>
        <v>2018</v>
      </c>
      <c r="H654" t="s">
        <v>1567</v>
      </c>
      <c r="I654" t="s">
        <v>885</v>
      </c>
      <c r="J654" t="s">
        <v>29</v>
      </c>
      <c r="K654" t="s">
        <v>882</v>
      </c>
      <c r="L654" t="s">
        <v>2132</v>
      </c>
      <c r="M654">
        <v>3903</v>
      </c>
    </row>
    <row r="655" spans="6:13" x14ac:dyDescent="0.35">
      <c r="F655" s="483">
        <v>43331</v>
      </c>
      <c r="G655">
        <f t="shared" si="10"/>
        <v>2018</v>
      </c>
      <c r="H655" t="s">
        <v>1568</v>
      </c>
      <c r="I655" t="s">
        <v>885</v>
      </c>
      <c r="J655" t="s">
        <v>35</v>
      </c>
      <c r="K655" t="s">
        <v>2123</v>
      </c>
      <c r="L655" t="s">
        <v>2124</v>
      </c>
      <c r="M655">
        <v>7365</v>
      </c>
    </row>
    <row r="656" spans="6:13" x14ac:dyDescent="0.35">
      <c r="F656" s="483">
        <v>42951</v>
      </c>
      <c r="G656">
        <f t="shared" si="10"/>
        <v>2017</v>
      </c>
      <c r="H656" t="s">
        <v>1569</v>
      </c>
      <c r="I656" t="s">
        <v>987</v>
      </c>
      <c r="J656" t="s">
        <v>28</v>
      </c>
      <c r="K656" t="s">
        <v>907</v>
      </c>
      <c r="L656" t="s">
        <v>2129</v>
      </c>
      <c r="M656">
        <v>8784</v>
      </c>
    </row>
    <row r="657" spans="6:13" x14ac:dyDescent="0.35">
      <c r="F657" s="483">
        <v>43139</v>
      </c>
      <c r="G657">
        <f t="shared" si="10"/>
        <v>2018</v>
      </c>
      <c r="H657" t="s">
        <v>1570</v>
      </c>
      <c r="I657" t="s">
        <v>885</v>
      </c>
      <c r="J657" t="s">
        <v>30</v>
      </c>
      <c r="K657" t="s">
        <v>2123</v>
      </c>
      <c r="L657" t="s">
        <v>2133</v>
      </c>
      <c r="M657">
        <v>5258</v>
      </c>
    </row>
    <row r="658" spans="6:13" x14ac:dyDescent="0.35">
      <c r="F658" s="483">
        <v>43263</v>
      </c>
      <c r="G658">
        <f t="shared" si="10"/>
        <v>2018</v>
      </c>
      <c r="H658" t="s">
        <v>1571</v>
      </c>
      <c r="I658" t="s">
        <v>976</v>
      </c>
      <c r="J658" t="s">
        <v>24</v>
      </c>
      <c r="K658" t="s">
        <v>882</v>
      </c>
      <c r="L658" t="s">
        <v>2124</v>
      </c>
      <c r="M658">
        <v>2862</v>
      </c>
    </row>
    <row r="659" spans="6:13" x14ac:dyDescent="0.35">
      <c r="F659" s="483">
        <v>43068</v>
      </c>
      <c r="G659">
        <f t="shared" si="10"/>
        <v>2017</v>
      </c>
      <c r="H659" t="s">
        <v>1572</v>
      </c>
      <c r="I659" t="s">
        <v>976</v>
      </c>
      <c r="J659" t="s">
        <v>24</v>
      </c>
      <c r="K659" t="s">
        <v>2123</v>
      </c>
      <c r="L659" t="s">
        <v>2128</v>
      </c>
      <c r="M659">
        <v>2212</v>
      </c>
    </row>
    <row r="660" spans="6:13" x14ac:dyDescent="0.35">
      <c r="F660" s="483">
        <v>42950</v>
      </c>
      <c r="G660">
        <f t="shared" si="10"/>
        <v>2017</v>
      </c>
      <c r="H660" t="s">
        <v>1573</v>
      </c>
      <c r="I660" t="s">
        <v>895</v>
      </c>
      <c r="J660" t="s">
        <v>31</v>
      </c>
      <c r="K660" t="s">
        <v>907</v>
      </c>
      <c r="L660" t="s">
        <v>2133</v>
      </c>
      <c r="M660">
        <v>1815</v>
      </c>
    </row>
    <row r="661" spans="6:13" x14ac:dyDescent="0.35">
      <c r="F661" s="483">
        <v>42949</v>
      </c>
      <c r="G661">
        <f t="shared" si="10"/>
        <v>2017</v>
      </c>
      <c r="H661" t="s">
        <v>1574</v>
      </c>
      <c r="I661" t="s">
        <v>885</v>
      </c>
      <c r="J661" t="s">
        <v>23</v>
      </c>
      <c r="K661" t="s">
        <v>2123</v>
      </c>
      <c r="L661" t="s">
        <v>2132</v>
      </c>
      <c r="M661">
        <v>2574</v>
      </c>
    </row>
    <row r="662" spans="6:13" x14ac:dyDescent="0.35">
      <c r="F662" s="483">
        <v>43400</v>
      </c>
      <c r="G662">
        <f t="shared" si="10"/>
        <v>2018</v>
      </c>
      <c r="H662" t="s">
        <v>1575</v>
      </c>
      <c r="I662" t="s">
        <v>885</v>
      </c>
      <c r="J662" t="s">
        <v>36</v>
      </c>
      <c r="K662" t="s">
        <v>907</v>
      </c>
      <c r="L662" t="s">
        <v>2128</v>
      </c>
      <c r="M662">
        <v>5266</v>
      </c>
    </row>
    <row r="663" spans="6:13" x14ac:dyDescent="0.35">
      <c r="F663" s="483">
        <v>42782</v>
      </c>
      <c r="G663">
        <f t="shared" si="10"/>
        <v>2017</v>
      </c>
      <c r="H663" t="s">
        <v>1576</v>
      </c>
      <c r="I663" t="s">
        <v>1018</v>
      </c>
      <c r="J663" t="s">
        <v>36</v>
      </c>
      <c r="K663" t="s">
        <v>907</v>
      </c>
      <c r="L663" t="s">
        <v>2126</v>
      </c>
      <c r="M663">
        <v>6391</v>
      </c>
    </row>
    <row r="664" spans="6:13" x14ac:dyDescent="0.35">
      <c r="F664" s="483">
        <v>43349</v>
      </c>
      <c r="G664">
        <f t="shared" si="10"/>
        <v>2018</v>
      </c>
      <c r="H664" t="s">
        <v>1577</v>
      </c>
      <c r="I664" t="s">
        <v>982</v>
      </c>
      <c r="J664" t="s">
        <v>31</v>
      </c>
      <c r="K664" t="s">
        <v>890</v>
      </c>
      <c r="L664" t="s">
        <v>2131</v>
      </c>
      <c r="M664">
        <v>3672</v>
      </c>
    </row>
    <row r="665" spans="6:13" x14ac:dyDescent="0.35">
      <c r="F665" s="483">
        <v>42923</v>
      </c>
      <c r="G665">
        <f t="shared" si="10"/>
        <v>2017</v>
      </c>
      <c r="H665" t="s">
        <v>1578</v>
      </c>
      <c r="I665" t="s">
        <v>917</v>
      </c>
      <c r="J665" t="s">
        <v>26</v>
      </c>
      <c r="K665" t="s">
        <v>907</v>
      </c>
      <c r="L665" t="s">
        <v>2130</v>
      </c>
      <c r="M665">
        <v>6353</v>
      </c>
    </row>
    <row r="666" spans="6:13" x14ac:dyDescent="0.35">
      <c r="F666" s="483">
        <v>43212</v>
      </c>
      <c r="G666">
        <f t="shared" si="10"/>
        <v>2018</v>
      </c>
      <c r="H666" t="s">
        <v>1579</v>
      </c>
      <c r="I666" t="s">
        <v>885</v>
      </c>
      <c r="J666" t="s">
        <v>37</v>
      </c>
      <c r="K666" t="s">
        <v>882</v>
      </c>
      <c r="L666" t="s">
        <v>2131</v>
      </c>
      <c r="M666">
        <v>8856</v>
      </c>
    </row>
    <row r="667" spans="6:13" x14ac:dyDescent="0.35">
      <c r="F667" s="483">
        <v>43446</v>
      </c>
      <c r="G667">
        <f t="shared" si="10"/>
        <v>2018</v>
      </c>
      <c r="H667" t="s">
        <v>1580</v>
      </c>
      <c r="I667" t="s">
        <v>885</v>
      </c>
      <c r="J667" t="s">
        <v>36</v>
      </c>
      <c r="K667" t="s">
        <v>882</v>
      </c>
      <c r="L667" t="s">
        <v>2127</v>
      </c>
      <c r="M667">
        <v>2822</v>
      </c>
    </row>
    <row r="668" spans="6:13" x14ac:dyDescent="0.35">
      <c r="F668" s="483">
        <v>43316</v>
      </c>
      <c r="G668">
        <f t="shared" si="10"/>
        <v>2018</v>
      </c>
      <c r="H668" t="s">
        <v>1581</v>
      </c>
      <c r="I668" t="s">
        <v>885</v>
      </c>
      <c r="J668" t="s">
        <v>29</v>
      </c>
      <c r="K668" t="s">
        <v>882</v>
      </c>
      <c r="L668" t="s">
        <v>2126</v>
      </c>
      <c r="M668">
        <v>7106</v>
      </c>
    </row>
    <row r="669" spans="6:13" x14ac:dyDescent="0.35">
      <c r="F669" s="483">
        <v>43199</v>
      </c>
      <c r="G669">
        <f t="shared" si="10"/>
        <v>2018</v>
      </c>
      <c r="H669" t="s">
        <v>1582</v>
      </c>
      <c r="I669" t="s">
        <v>885</v>
      </c>
      <c r="J669" t="s">
        <v>29</v>
      </c>
      <c r="K669" t="s">
        <v>907</v>
      </c>
      <c r="L669" t="s">
        <v>2124</v>
      </c>
      <c r="M669">
        <v>5614</v>
      </c>
    </row>
    <row r="670" spans="6:13" x14ac:dyDescent="0.35">
      <c r="F670" s="483">
        <v>43410</v>
      </c>
      <c r="G670">
        <f t="shared" si="10"/>
        <v>2018</v>
      </c>
      <c r="H670" t="s">
        <v>1583</v>
      </c>
      <c r="I670" t="s">
        <v>885</v>
      </c>
      <c r="J670" t="s">
        <v>37</v>
      </c>
      <c r="K670" t="s">
        <v>907</v>
      </c>
      <c r="L670" t="s">
        <v>2133</v>
      </c>
      <c r="M670">
        <v>1927</v>
      </c>
    </row>
    <row r="671" spans="6:13" x14ac:dyDescent="0.35">
      <c r="F671" s="483">
        <v>43294</v>
      </c>
      <c r="G671">
        <f t="shared" si="10"/>
        <v>2018</v>
      </c>
      <c r="H671" t="s">
        <v>1584</v>
      </c>
      <c r="I671" t="s">
        <v>885</v>
      </c>
      <c r="J671" t="s">
        <v>31</v>
      </c>
      <c r="K671" t="s">
        <v>890</v>
      </c>
      <c r="L671" t="s">
        <v>2126</v>
      </c>
      <c r="M671">
        <v>7440</v>
      </c>
    </row>
    <row r="672" spans="6:13" x14ac:dyDescent="0.35">
      <c r="F672" s="483">
        <v>43332</v>
      </c>
      <c r="G672">
        <f t="shared" si="10"/>
        <v>2018</v>
      </c>
      <c r="H672" t="s">
        <v>1585</v>
      </c>
      <c r="I672" t="s">
        <v>1022</v>
      </c>
      <c r="J672" t="s">
        <v>29</v>
      </c>
      <c r="K672" t="s">
        <v>907</v>
      </c>
      <c r="L672" t="s">
        <v>2125</v>
      </c>
      <c r="M672">
        <v>8767</v>
      </c>
    </row>
    <row r="673" spans="6:13" x14ac:dyDescent="0.35">
      <c r="F673" s="483">
        <v>43267</v>
      </c>
      <c r="G673">
        <f t="shared" si="10"/>
        <v>2018</v>
      </c>
      <c r="H673" t="s">
        <v>1586</v>
      </c>
      <c r="I673" t="s">
        <v>885</v>
      </c>
      <c r="J673" t="s">
        <v>32</v>
      </c>
      <c r="K673" t="s">
        <v>2123</v>
      </c>
      <c r="L673" t="s">
        <v>2126</v>
      </c>
      <c r="M673">
        <v>4363</v>
      </c>
    </row>
    <row r="674" spans="6:13" x14ac:dyDescent="0.35">
      <c r="F674" s="483">
        <v>43299</v>
      </c>
      <c r="G674">
        <f t="shared" si="10"/>
        <v>2018</v>
      </c>
      <c r="H674" t="s">
        <v>1587</v>
      </c>
      <c r="I674" t="s">
        <v>1131</v>
      </c>
      <c r="J674" t="s">
        <v>38</v>
      </c>
      <c r="K674" t="s">
        <v>882</v>
      </c>
      <c r="L674" t="s">
        <v>2133</v>
      </c>
      <c r="M674">
        <v>3079</v>
      </c>
    </row>
    <row r="675" spans="6:13" x14ac:dyDescent="0.35">
      <c r="F675" s="483">
        <v>43460</v>
      </c>
      <c r="G675">
        <f t="shared" si="10"/>
        <v>2018</v>
      </c>
      <c r="H675" t="s">
        <v>1588</v>
      </c>
      <c r="I675" t="s">
        <v>885</v>
      </c>
      <c r="J675" t="s">
        <v>24</v>
      </c>
      <c r="K675" t="s">
        <v>2123</v>
      </c>
      <c r="L675" t="s">
        <v>2128</v>
      </c>
      <c r="M675">
        <v>2415</v>
      </c>
    </row>
    <row r="676" spans="6:13" x14ac:dyDescent="0.35">
      <c r="F676" s="483">
        <v>42882</v>
      </c>
      <c r="G676">
        <f t="shared" si="10"/>
        <v>2017</v>
      </c>
      <c r="H676" t="s">
        <v>1589</v>
      </c>
      <c r="I676" t="s">
        <v>885</v>
      </c>
      <c r="J676" t="s">
        <v>38</v>
      </c>
      <c r="K676" t="s">
        <v>2123</v>
      </c>
      <c r="L676" t="s">
        <v>2131</v>
      </c>
      <c r="M676">
        <v>7033</v>
      </c>
    </row>
    <row r="677" spans="6:13" x14ac:dyDescent="0.35">
      <c r="F677" s="483">
        <v>43095</v>
      </c>
      <c r="G677">
        <f t="shared" si="10"/>
        <v>2017</v>
      </c>
      <c r="H677" t="s">
        <v>1590</v>
      </c>
      <c r="I677" t="s">
        <v>1131</v>
      </c>
      <c r="J677" t="s">
        <v>24</v>
      </c>
      <c r="K677" t="s">
        <v>907</v>
      </c>
      <c r="L677" t="s">
        <v>2124</v>
      </c>
      <c r="M677">
        <v>2181</v>
      </c>
    </row>
    <row r="678" spans="6:13" x14ac:dyDescent="0.35">
      <c r="F678" s="483">
        <v>42986</v>
      </c>
      <c r="G678">
        <f t="shared" si="10"/>
        <v>2017</v>
      </c>
      <c r="H678" t="s">
        <v>1591</v>
      </c>
      <c r="I678" t="s">
        <v>932</v>
      </c>
      <c r="J678" t="s">
        <v>37</v>
      </c>
      <c r="K678" t="s">
        <v>882</v>
      </c>
      <c r="L678" t="s">
        <v>2125</v>
      </c>
      <c r="M678">
        <v>6623</v>
      </c>
    </row>
    <row r="679" spans="6:13" x14ac:dyDescent="0.35">
      <c r="F679" s="483">
        <v>42781</v>
      </c>
      <c r="G679">
        <f t="shared" si="10"/>
        <v>2017</v>
      </c>
      <c r="H679" t="s">
        <v>1592</v>
      </c>
      <c r="I679" t="s">
        <v>885</v>
      </c>
      <c r="J679" t="s">
        <v>26</v>
      </c>
      <c r="K679" t="s">
        <v>907</v>
      </c>
      <c r="L679" t="s">
        <v>2129</v>
      </c>
      <c r="M679">
        <v>4384</v>
      </c>
    </row>
    <row r="680" spans="6:13" x14ac:dyDescent="0.35">
      <c r="F680" s="483">
        <v>43211</v>
      </c>
      <c r="G680">
        <f t="shared" si="10"/>
        <v>2018</v>
      </c>
      <c r="H680" t="s">
        <v>1593</v>
      </c>
      <c r="I680" t="s">
        <v>912</v>
      </c>
      <c r="J680" t="s">
        <v>34</v>
      </c>
      <c r="K680" t="s">
        <v>2123</v>
      </c>
      <c r="L680" t="s">
        <v>2126</v>
      </c>
      <c r="M680">
        <v>4954</v>
      </c>
    </row>
    <row r="681" spans="6:13" x14ac:dyDescent="0.35">
      <c r="F681" s="483">
        <v>43054</v>
      </c>
      <c r="G681">
        <f t="shared" si="10"/>
        <v>2017</v>
      </c>
      <c r="H681" t="s">
        <v>1594</v>
      </c>
      <c r="I681" t="s">
        <v>885</v>
      </c>
      <c r="J681" t="s">
        <v>31</v>
      </c>
      <c r="K681" t="s">
        <v>882</v>
      </c>
      <c r="L681" t="s">
        <v>2129</v>
      </c>
      <c r="M681">
        <v>4003</v>
      </c>
    </row>
    <row r="682" spans="6:13" x14ac:dyDescent="0.35">
      <c r="F682" s="483">
        <v>43285</v>
      </c>
      <c r="G682">
        <f t="shared" si="10"/>
        <v>2018</v>
      </c>
      <c r="H682" t="s">
        <v>1595</v>
      </c>
      <c r="I682" t="s">
        <v>912</v>
      </c>
      <c r="J682" t="s">
        <v>29</v>
      </c>
      <c r="K682" t="s">
        <v>907</v>
      </c>
      <c r="L682" t="s">
        <v>2125</v>
      </c>
      <c r="M682">
        <v>5081</v>
      </c>
    </row>
    <row r="683" spans="6:13" x14ac:dyDescent="0.35">
      <c r="F683" s="483">
        <v>43349</v>
      </c>
      <c r="G683">
        <f t="shared" si="10"/>
        <v>2018</v>
      </c>
      <c r="H683" t="s">
        <v>1596</v>
      </c>
      <c r="I683" t="s">
        <v>917</v>
      </c>
      <c r="J683" t="s">
        <v>38</v>
      </c>
      <c r="K683" t="s">
        <v>882</v>
      </c>
      <c r="L683" t="s">
        <v>2130</v>
      </c>
      <c r="M683">
        <v>6538</v>
      </c>
    </row>
    <row r="684" spans="6:13" x14ac:dyDescent="0.35">
      <c r="F684" s="483">
        <v>42880</v>
      </c>
      <c r="G684">
        <f t="shared" si="10"/>
        <v>2017</v>
      </c>
      <c r="H684" t="s">
        <v>1597</v>
      </c>
      <c r="I684" t="s">
        <v>923</v>
      </c>
      <c r="J684" t="s">
        <v>34</v>
      </c>
      <c r="K684" t="s">
        <v>2123</v>
      </c>
      <c r="L684" t="s">
        <v>2133</v>
      </c>
      <c r="M684">
        <v>5444</v>
      </c>
    </row>
    <row r="685" spans="6:13" x14ac:dyDescent="0.35">
      <c r="F685" s="483">
        <v>43007</v>
      </c>
      <c r="G685">
        <f t="shared" si="10"/>
        <v>2017</v>
      </c>
      <c r="H685" t="s">
        <v>1598</v>
      </c>
      <c r="I685" t="s">
        <v>1131</v>
      </c>
      <c r="J685" t="s">
        <v>23</v>
      </c>
      <c r="K685" t="s">
        <v>882</v>
      </c>
      <c r="L685" t="s">
        <v>2128</v>
      </c>
      <c r="M685">
        <v>8377</v>
      </c>
    </row>
    <row r="686" spans="6:13" x14ac:dyDescent="0.35">
      <c r="F686" s="483">
        <v>42914</v>
      </c>
      <c r="G686">
        <f t="shared" si="10"/>
        <v>2017</v>
      </c>
      <c r="H686" t="s">
        <v>1599</v>
      </c>
      <c r="I686" t="s">
        <v>1018</v>
      </c>
      <c r="J686" t="s">
        <v>37</v>
      </c>
      <c r="K686" t="s">
        <v>2123</v>
      </c>
      <c r="L686" t="s">
        <v>2127</v>
      </c>
      <c r="M686">
        <v>1878</v>
      </c>
    </row>
    <row r="687" spans="6:13" x14ac:dyDescent="0.35">
      <c r="F687" s="483">
        <v>43224</v>
      </c>
      <c r="G687">
        <f t="shared" si="10"/>
        <v>2018</v>
      </c>
      <c r="H687" t="s">
        <v>1600</v>
      </c>
      <c r="I687" t="s">
        <v>991</v>
      </c>
      <c r="J687" t="s">
        <v>33</v>
      </c>
      <c r="K687" t="s">
        <v>890</v>
      </c>
      <c r="L687" t="s">
        <v>2125</v>
      </c>
      <c r="M687">
        <v>5705</v>
      </c>
    </row>
    <row r="688" spans="6:13" x14ac:dyDescent="0.35">
      <c r="F688" s="483">
        <v>43447</v>
      </c>
      <c r="G688">
        <f t="shared" si="10"/>
        <v>2018</v>
      </c>
      <c r="H688" t="s">
        <v>1601</v>
      </c>
      <c r="I688" t="s">
        <v>885</v>
      </c>
      <c r="J688" t="s">
        <v>24</v>
      </c>
      <c r="K688" t="s">
        <v>907</v>
      </c>
      <c r="L688" t="s">
        <v>2128</v>
      </c>
      <c r="M688">
        <v>7813</v>
      </c>
    </row>
    <row r="689" spans="6:13" x14ac:dyDescent="0.35">
      <c r="F689" s="483">
        <v>42898</v>
      </c>
      <c r="G689">
        <f t="shared" si="10"/>
        <v>2017</v>
      </c>
      <c r="H689" t="s">
        <v>1602</v>
      </c>
      <c r="I689" t="s">
        <v>939</v>
      </c>
      <c r="J689" t="s">
        <v>33</v>
      </c>
      <c r="K689" t="s">
        <v>890</v>
      </c>
      <c r="L689" t="s">
        <v>2125</v>
      </c>
      <c r="M689">
        <v>4002</v>
      </c>
    </row>
    <row r="690" spans="6:13" x14ac:dyDescent="0.35">
      <c r="F690" s="483">
        <v>42991</v>
      </c>
      <c r="G690">
        <f t="shared" si="10"/>
        <v>2017</v>
      </c>
      <c r="H690" t="s">
        <v>1603</v>
      </c>
      <c r="I690" t="s">
        <v>987</v>
      </c>
      <c r="J690" t="s">
        <v>36</v>
      </c>
      <c r="K690" t="s">
        <v>890</v>
      </c>
      <c r="L690" t="s">
        <v>2132</v>
      </c>
      <c r="M690">
        <v>7605</v>
      </c>
    </row>
    <row r="691" spans="6:13" x14ac:dyDescent="0.35">
      <c r="F691" s="483">
        <v>43088</v>
      </c>
      <c r="G691">
        <f t="shared" si="10"/>
        <v>2017</v>
      </c>
      <c r="H691" t="s">
        <v>1604</v>
      </c>
      <c r="I691" t="s">
        <v>885</v>
      </c>
      <c r="J691" t="s">
        <v>38</v>
      </c>
      <c r="K691" t="s">
        <v>882</v>
      </c>
      <c r="L691" t="s">
        <v>2129</v>
      </c>
      <c r="M691">
        <v>7556</v>
      </c>
    </row>
    <row r="692" spans="6:13" x14ac:dyDescent="0.35">
      <c r="F692" s="483">
        <v>43127</v>
      </c>
      <c r="G692">
        <f t="shared" si="10"/>
        <v>2018</v>
      </c>
      <c r="H692" t="s">
        <v>1605</v>
      </c>
      <c r="I692" t="s">
        <v>967</v>
      </c>
      <c r="J692" t="s">
        <v>23</v>
      </c>
      <c r="K692" t="s">
        <v>890</v>
      </c>
      <c r="L692" t="s">
        <v>2126</v>
      </c>
      <c r="M692">
        <v>6169</v>
      </c>
    </row>
    <row r="693" spans="6:13" x14ac:dyDescent="0.35">
      <c r="F693" s="483">
        <v>43018</v>
      </c>
      <c r="G693">
        <f t="shared" si="10"/>
        <v>2017</v>
      </c>
      <c r="H693" t="s">
        <v>1606</v>
      </c>
      <c r="I693" t="s">
        <v>895</v>
      </c>
      <c r="J693" t="s">
        <v>24</v>
      </c>
      <c r="K693" t="s">
        <v>890</v>
      </c>
      <c r="L693" t="s">
        <v>2131</v>
      </c>
      <c r="M693">
        <v>6472</v>
      </c>
    </row>
    <row r="694" spans="6:13" x14ac:dyDescent="0.35">
      <c r="F694" s="483">
        <v>43260</v>
      </c>
      <c r="G694">
        <f t="shared" si="10"/>
        <v>2018</v>
      </c>
      <c r="H694" t="s">
        <v>1607</v>
      </c>
      <c r="I694" t="s">
        <v>912</v>
      </c>
      <c r="J694" t="s">
        <v>38</v>
      </c>
      <c r="K694" t="s">
        <v>882</v>
      </c>
      <c r="L694" t="s">
        <v>2129</v>
      </c>
      <c r="M694">
        <v>2567</v>
      </c>
    </row>
    <row r="695" spans="6:13" x14ac:dyDescent="0.35">
      <c r="F695" s="483">
        <v>43033</v>
      </c>
      <c r="G695">
        <f t="shared" si="10"/>
        <v>2017</v>
      </c>
      <c r="H695" t="s">
        <v>1608</v>
      </c>
      <c r="I695" t="s">
        <v>1016</v>
      </c>
      <c r="J695" t="s">
        <v>24</v>
      </c>
      <c r="K695" t="s">
        <v>890</v>
      </c>
      <c r="L695" t="s">
        <v>2130</v>
      </c>
      <c r="M695">
        <v>7014</v>
      </c>
    </row>
    <row r="696" spans="6:13" x14ac:dyDescent="0.35">
      <c r="F696" s="483">
        <v>43345</v>
      </c>
      <c r="G696">
        <f t="shared" si="10"/>
        <v>2018</v>
      </c>
      <c r="H696" t="s">
        <v>1609</v>
      </c>
      <c r="I696" t="s">
        <v>932</v>
      </c>
      <c r="J696" t="s">
        <v>38</v>
      </c>
      <c r="K696" t="s">
        <v>882</v>
      </c>
      <c r="L696" t="s">
        <v>2131</v>
      </c>
      <c r="M696">
        <v>2931</v>
      </c>
    </row>
    <row r="697" spans="6:13" x14ac:dyDescent="0.35">
      <c r="F697" s="483">
        <v>43156</v>
      </c>
      <c r="G697">
        <f t="shared" si="10"/>
        <v>2018</v>
      </c>
      <c r="H697" t="s">
        <v>1610</v>
      </c>
      <c r="I697" t="s">
        <v>885</v>
      </c>
      <c r="J697" t="s">
        <v>31</v>
      </c>
      <c r="K697" t="s">
        <v>890</v>
      </c>
      <c r="L697" t="s">
        <v>2133</v>
      </c>
      <c r="M697">
        <v>6426</v>
      </c>
    </row>
    <row r="698" spans="6:13" x14ac:dyDescent="0.35">
      <c r="F698" s="483">
        <v>42879</v>
      </c>
      <c r="G698">
        <f t="shared" si="10"/>
        <v>2017</v>
      </c>
      <c r="H698" t="s">
        <v>1611</v>
      </c>
      <c r="I698" t="s">
        <v>885</v>
      </c>
      <c r="J698" t="s">
        <v>37</v>
      </c>
      <c r="K698" t="s">
        <v>890</v>
      </c>
      <c r="L698" t="s">
        <v>2130</v>
      </c>
      <c r="M698">
        <v>5243</v>
      </c>
    </row>
    <row r="699" spans="6:13" x14ac:dyDescent="0.35">
      <c r="F699" s="483">
        <v>42899</v>
      </c>
      <c r="G699">
        <f t="shared" si="10"/>
        <v>2017</v>
      </c>
      <c r="H699" t="s">
        <v>1612</v>
      </c>
      <c r="I699" t="s">
        <v>885</v>
      </c>
      <c r="J699" t="s">
        <v>26</v>
      </c>
      <c r="K699" t="s">
        <v>907</v>
      </c>
      <c r="L699" t="s">
        <v>2124</v>
      </c>
      <c r="M699">
        <v>3563</v>
      </c>
    </row>
    <row r="700" spans="6:13" x14ac:dyDescent="0.35">
      <c r="F700" s="483">
        <v>43328</v>
      </c>
      <c r="G700">
        <f t="shared" si="10"/>
        <v>2018</v>
      </c>
      <c r="H700" t="s">
        <v>1613</v>
      </c>
      <c r="I700" t="s">
        <v>967</v>
      </c>
      <c r="J700" t="s">
        <v>38</v>
      </c>
      <c r="K700" t="s">
        <v>890</v>
      </c>
      <c r="L700" t="s">
        <v>2131</v>
      </c>
      <c r="M700">
        <v>3103</v>
      </c>
    </row>
    <row r="701" spans="6:13" x14ac:dyDescent="0.35">
      <c r="F701" s="483">
        <v>43269</v>
      </c>
      <c r="G701">
        <f t="shared" si="10"/>
        <v>2018</v>
      </c>
      <c r="H701" t="s">
        <v>1614</v>
      </c>
      <c r="I701" t="s">
        <v>885</v>
      </c>
      <c r="J701" t="s">
        <v>26</v>
      </c>
      <c r="K701" t="s">
        <v>890</v>
      </c>
      <c r="L701" t="s">
        <v>2128</v>
      </c>
      <c r="M701">
        <v>1658</v>
      </c>
    </row>
    <row r="702" spans="6:13" x14ac:dyDescent="0.35">
      <c r="F702" s="483">
        <v>43194</v>
      </c>
      <c r="G702">
        <f t="shared" si="10"/>
        <v>2018</v>
      </c>
      <c r="H702" t="s">
        <v>1615</v>
      </c>
      <c r="I702" t="s">
        <v>885</v>
      </c>
      <c r="J702" t="s">
        <v>24</v>
      </c>
      <c r="K702" t="s">
        <v>882</v>
      </c>
      <c r="L702" t="s">
        <v>2129</v>
      </c>
      <c r="M702">
        <v>8007</v>
      </c>
    </row>
    <row r="703" spans="6:13" x14ac:dyDescent="0.35">
      <c r="F703" s="483">
        <v>43317</v>
      </c>
      <c r="G703">
        <f t="shared" si="10"/>
        <v>2018</v>
      </c>
      <c r="H703" t="s">
        <v>1616</v>
      </c>
      <c r="I703" t="s">
        <v>885</v>
      </c>
      <c r="J703" t="s">
        <v>31</v>
      </c>
      <c r="K703" t="s">
        <v>907</v>
      </c>
      <c r="L703" t="s">
        <v>2128</v>
      </c>
      <c r="M703">
        <v>3464</v>
      </c>
    </row>
    <row r="704" spans="6:13" x14ac:dyDescent="0.35">
      <c r="F704" s="483">
        <v>43227</v>
      </c>
      <c r="G704">
        <f t="shared" si="10"/>
        <v>2018</v>
      </c>
      <c r="H704" t="s">
        <v>1617</v>
      </c>
      <c r="I704" t="s">
        <v>1028</v>
      </c>
      <c r="J704" t="s">
        <v>28</v>
      </c>
      <c r="K704" t="s">
        <v>2123</v>
      </c>
      <c r="L704" t="s">
        <v>2131</v>
      </c>
      <c r="M704">
        <v>3537</v>
      </c>
    </row>
    <row r="705" spans="6:13" x14ac:dyDescent="0.35">
      <c r="F705" s="483">
        <v>43049</v>
      </c>
      <c r="G705">
        <f t="shared" si="10"/>
        <v>2017</v>
      </c>
      <c r="H705" t="s">
        <v>1618</v>
      </c>
      <c r="I705" t="s">
        <v>906</v>
      </c>
      <c r="J705" t="s">
        <v>29</v>
      </c>
      <c r="K705" t="s">
        <v>890</v>
      </c>
      <c r="L705" t="s">
        <v>2129</v>
      </c>
      <c r="M705">
        <v>6914</v>
      </c>
    </row>
    <row r="706" spans="6:13" x14ac:dyDescent="0.35">
      <c r="F706" s="483">
        <v>43253</v>
      </c>
      <c r="G706">
        <f t="shared" si="10"/>
        <v>2018</v>
      </c>
      <c r="H706" t="s">
        <v>1619</v>
      </c>
      <c r="I706" t="s">
        <v>930</v>
      </c>
      <c r="J706" t="s">
        <v>26</v>
      </c>
      <c r="K706" t="s">
        <v>882</v>
      </c>
      <c r="L706" t="s">
        <v>2126</v>
      </c>
      <c r="M706">
        <v>1798</v>
      </c>
    </row>
    <row r="707" spans="6:13" x14ac:dyDescent="0.35">
      <c r="F707" s="483">
        <v>42915</v>
      </c>
      <c r="G707">
        <f t="shared" si="10"/>
        <v>2017</v>
      </c>
      <c r="H707" t="s">
        <v>1620</v>
      </c>
      <c r="I707" t="s">
        <v>930</v>
      </c>
      <c r="J707" t="s">
        <v>26</v>
      </c>
      <c r="K707" t="s">
        <v>907</v>
      </c>
      <c r="L707" t="s">
        <v>2133</v>
      </c>
      <c r="M707">
        <v>7057</v>
      </c>
    </row>
    <row r="708" spans="6:13" x14ac:dyDescent="0.35">
      <c r="F708" s="483">
        <v>43187</v>
      </c>
      <c r="G708">
        <f t="shared" si="10"/>
        <v>2018</v>
      </c>
      <c r="H708" t="s">
        <v>1621</v>
      </c>
      <c r="I708" t="s">
        <v>885</v>
      </c>
      <c r="J708" t="s">
        <v>23</v>
      </c>
      <c r="K708" t="s">
        <v>890</v>
      </c>
      <c r="L708" t="s">
        <v>2129</v>
      </c>
      <c r="M708">
        <v>6613</v>
      </c>
    </row>
    <row r="709" spans="6:13" x14ac:dyDescent="0.35">
      <c r="F709" s="483">
        <v>42938</v>
      </c>
      <c r="G709">
        <f t="shared" si="10"/>
        <v>2017</v>
      </c>
      <c r="H709" t="s">
        <v>1622</v>
      </c>
      <c r="I709" t="s">
        <v>930</v>
      </c>
      <c r="J709" t="s">
        <v>35</v>
      </c>
      <c r="K709" t="s">
        <v>2123</v>
      </c>
      <c r="L709" t="s">
        <v>2124</v>
      </c>
      <c r="M709">
        <v>3522</v>
      </c>
    </row>
    <row r="710" spans="6:13" x14ac:dyDescent="0.35">
      <c r="F710" s="483">
        <v>43365</v>
      </c>
      <c r="G710">
        <f t="shared" si="10"/>
        <v>2018</v>
      </c>
      <c r="H710" t="s">
        <v>1623</v>
      </c>
      <c r="I710" t="s">
        <v>885</v>
      </c>
      <c r="J710" t="s">
        <v>32</v>
      </c>
      <c r="K710" t="s">
        <v>907</v>
      </c>
      <c r="L710" t="s">
        <v>2127</v>
      </c>
      <c r="M710">
        <v>8574</v>
      </c>
    </row>
    <row r="711" spans="6:13" x14ac:dyDescent="0.35">
      <c r="F711" s="483">
        <v>43378</v>
      </c>
      <c r="G711">
        <f t="shared" si="10"/>
        <v>2018</v>
      </c>
      <c r="H711" t="s">
        <v>1624</v>
      </c>
      <c r="I711" t="s">
        <v>967</v>
      </c>
      <c r="J711" t="s">
        <v>30</v>
      </c>
      <c r="K711" t="s">
        <v>907</v>
      </c>
      <c r="L711" t="s">
        <v>2125</v>
      </c>
      <c r="M711">
        <v>6868</v>
      </c>
    </row>
    <row r="712" spans="6:13" x14ac:dyDescent="0.35">
      <c r="F712" s="483">
        <v>42883</v>
      </c>
      <c r="G712">
        <f t="shared" si="10"/>
        <v>2017</v>
      </c>
      <c r="H712" t="s">
        <v>1625</v>
      </c>
      <c r="I712" t="s">
        <v>1183</v>
      </c>
      <c r="J712" t="s">
        <v>37</v>
      </c>
      <c r="K712" t="s">
        <v>2123</v>
      </c>
      <c r="L712" t="s">
        <v>2124</v>
      </c>
      <c r="M712">
        <v>8942</v>
      </c>
    </row>
    <row r="713" spans="6:13" x14ac:dyDescent="0.35">
      <c r="F713" s="483">
        <v>43156</v>
      </c>
      <c r="G713">
        <f t="shared" si="10"/>
        <v>2018</v>
      </c>
      <c r="H713" t="s">
        <v>1626</v>
      </c>
      <c r="I713" t="s">
        <v>885</v>
      </c>
      <c r="J713" t="s">
        <v>23</v>
      </c>
      <c r="K713" t="s">
        <v>890</v>
      </c>
      <c r="L713" t="s">
        <v>2129</v>
      </c>
      <c r="M713">
        <v>3773</v>
      </c>
    </row>
    <row r="714" spans="6:13" x14ac:dyDescent="0.35">
      <c r="F714" s="483">
        <v>43309</v>
      </c>
      <c r="G714">
        <f t="shared" ref="G714:G777" si="11">YEAR(F714)</f>
        <v>2018</v>
      </c>
      <c r="H714" t="s">
        <v>1627</v>
      </c>
      <c r="I714" t="s">
        <v>885</v>
      </c>
      <c r="J714" t="s">
        <v>26</v>
      </c>
      <c r="K714" t="s">
        <v>882</v>
      </c>
      <c r="L714" t="s">
        <v>2125</v>
      </c>
      <c r="M714">
        <v>4329</v>
      </c>
    </row>
    <row r="715" spans="6:13" x14ac:dyDescent="0.35">
      <c r="F715" s="483">
        <v>43090</v>
      </c>
      <c r="G715">
        <f t="shared" si="11"/>
        <v>2017</v>
      </c>
      <c r="H715" t="s">
        <v>1628</v>
      </c>
      <c r="I715" t="s">
        <v>885</v>
      </c>
      <c r="J715" t="s">
        <v>24</v>
      </c>
      <c r="K715" t="s">
        <v>890</v>
      </c>
      <c r="L715" t="s">
        <v>2128</v>
      </c>
      <c r="M715">
        <v>5830</v>
      </c>
    </row>
    <row r="716" spans="6:13" x14ac:dyDescent="0.35">
      <c r="F716" s="483">
        <v>43377</v>
      </c>
      <c r="G716">
        <f t="shared" si="11"/>
        <v>2018</v>
      </c>
      <c r="H716" t="s">
        <v>1629</v>
      </c>
      <c r="I716" t="s">
        <v>895</v>
      </c>
      <c r="J716" t="s">
        <v>31</v>
      </c>
      <c r="K716" t="s">
        <v>882</v>
      </c>
      <c r="L716" t="s">
        <v>2126</v>
      </c>
      <c r="M716">
        <v>3781</v>
      </c>
    </row>
    <row r="717" spans="6:13" x14ac:dyDescent="0.35">
      <c r="F717" s="483">
        <v>43286</v>
      </c>
      <c r="G717">
        <f t="shared" si="11"/>
        <v>2018</v>
      </c>
      <c r="H717" t="s">
        <v>1630</v>
      </c>
      <c r="I717" t="s">
        <v>1018</v>
      </c>
      <c r="J717" t="s">
        <v>38</v>
      </c>
      <c r="K717" t="s">
        <v>890</v>
      </c>
      <c r="L717" t="s">
        <v>2131</v>
      </c>
      <c r="M717">
        <v>7227</v>
      </c>
    </row>
    <row r="718" spans="6:13" x14ac:dyDescent="0.35">
      <c r="F718" s="483">
        <v>42793</v>
      </c>
      <c r="G718">
        <f t="shared" si="11"/>
        <v>2017</v>
      </c>
      <c r="H718" t="s">
        <v>1631</v>
      </c>
      <c r="I718" t="s">
        <v>1183</v>
      </c>
      <c r="J718" t="s">
        <v>31</v>
      </c>
      <c r="K718" t="s">
        <v>890</v>
      </c>
      <c r="L718" t="s">
        <v>2126</v>
      </c>
      <c r="M718">
        <v>1663</v>
      </c>
    </row>
    <row r="719" spans="6:13" x14ac:dyDescent="0.35">
      <c r="F719" s="483">
        <v>43426</v>
      </c>
      <c r="G719">
        <f t="shared" si="11"/>
        <v>2018</v>
      </c>
      <c r="H719" t="s">
        <v>1632</v>
      </c>
      <c r="I719" t="s">
        <v>982</v>
      </c>
      <c r="J719" t="s">
        <v>33</v>
      </c>
      <c r="K719" t="s">
        <v>2123</v>
      </c>
      <c r="L719" t="s">
        <v>2124</v>
      </c>
      <c r="M719">
        <v>6196</v>
      </c>
    </row>
    <row r="720" spans="6:13" x14ac:dyDescent="0.35">
      <c r="F720" s="483">
        <v>42875</v>
      </c>
      <c r="G720">
        <f t="shared" si="11"/>
        <v>2017</v>
      </c>
      <c r="H720" t="s">
        <v>1633</v>
      </c>
      <c r="I720" t="s">
        <v>885</v>
      </c>
      <c r="J720" t="s">
        <v>35</v>
      </c>
      <c r="K720" t="s">
        <v>907</v>
      </c>
      <c r="L720" t="s">
        <v>2127</v>
      </c>
      <c r="M720">
        <v>3128</v>
      </c>
    </row>
    <row r="721" spans="6:13" x14ac:dyDescent="0.35">
      <c r="F721" s="483">
        <v>42899</v>
      </c>
      <c r="G721">
        <f t="shared" si="11"/>
        <v>2017</v>
      </c>
      <c r="H721" t="s">
        <v>1634</v>
      </c>
      <c r="I721" t="s">
        <v>1028</v>
      </c>
      <c r="J721" t="s">
        <v>37</v>
      </c>
      <c r="K721" t="s">
        <v>2123</v>
      </c>
      <c r="L721" t="s">
        <v>2130</v>
      </c>
      <c r="M721">
        <v>7954</v>
      </c>
    </row>
    <row r="722" spans="6:13" x14ac:dyDescent="0.35">
      <c r="F722" s="483">
        <v>43068</v>
      </c>
      <c r="G722">
        <f t="shared" si="11"/>
        <v>2017</v>
      </c>
      <c r="H722" t="s">
        <v>1635</v>
      </c>
      <c r="I722" t="s">
        <v>885</v>
      </c>
      <c r="J722" t="s">
        <v>28</v>
      </c>
      <c r="K722" t="s">
        <v>907</v>
      </c>
      <c r="L722" t="s">
        <v>2128</v>
      </c>
      <c r="M722">
        <v>7383</v>
      </c>
    </row>
    <row r="723" spans="6:13" x14ac:dyDescent="0.35">
      <c r="F723" s="483">
        <v>42894</v>
      </c>
      <c r="G723">
        <f t="shared" si="11"/>
        <v>2017</v>
      </c>
      <c r="H723" t="s">
        <v>1636</v>
      </c>
      <c r="I723" t="s">
        <v>930</v>
      </c>
      <c r="J723" t="s">
        <v>36</v>
      </c>
      <c r="K723" t="s">
        <v>890</v>
      </c>
      <c r="L723" t="s">
        <v>2132</v>
      </c>
      <c r="M723">
        <v>4143</v>
      </c>
    </row>
    <row r="724" spans="6:13" x14ac:dyDescent="0.35">
      <c r="F724" s="483">
        <v>43366</v>
      </c>
      <c r="G724">
        <f t="shared" si="11"/>
        <v>2018</v>
      </c>
      <c r="H724" t="s">
        <v>1637</v>
      </c>
      <c r="I724" t="s">
        <v>885</v>
      </c>
      <c r="J724" t="s">
        <v>28</v>
      </c>
      <c r="K724" t="s">
        <v>882</v>
      </c>
      <c r="L724" t="s">
        <v>2131</v>
      </c>
      <c r="M724">
        <v>1749</v>
      </c>
    </row>
    <row r="725" spans="6:13" x14ac:dyDescent="0.35">
      <c r="F725" s="483">
        <v>43349</v>
      </c>
      <c r="G725">
        <f t="shared" si="11"/>
        <v>2018</v>
      </c>
      <c r="H725" t="s">
        <v>1638</v>
      </c>
      <c r="I725" t="s">
        <v>917</v>
      </c>
      <c r="J725" t="s">
        <v>37</v>
      </c>
      <c r="K725" t="s">
        <v>890</v>
      </c>
      <c r="L725" t="s">
        <v>2129</v>
      </c>
      <c r="M725">
        <v>6776</v>
      </c>
    </row>
    <row r="726" spans="6:13" x14ac:dyDescent="0.35">
      <c r="F726" s="483">
        <v>43081</v>
      </c>
      <c r="G726">
        <f t="shared" si="11"/>
        <v>2017</v>
      </c>
      <c r="H726" t="s">
        <v>1639</v>
      </c>
      <c r="I726" t="s">
        <v>939</v>
      </c>
      <c r="J726" t="s">
        <v>31</v>
      </c>
      <c r="K726" t="s">
        <v>2123</v>
      </c>
      <c r="L726" t="s">
        <v>2132</v>
      </c>
      <c r="M726">
        <v>7218</v>
      </c>
    </row>
    <row r="727" spans="6:13" x14ac:dyDescent="0.35">
      <c r="F727" s="483">
        <v>43265</v>
      </c>
      <c r="G727">
        <f t="shared" si="11"/>
        <v>2018</v>
      </c>
      <c r="H727" t="s">
        <v>1640</v>
      </c>
      <c r="I727" t="s">
        <v>1028</v>
      </c>
      <c r="J727" t="s">
        <v>36</v>
      </c>
      <c r="K727" t="s">
        <v>2123</v>
      </c>
      <c r="L727" t="s">
        <v>2124</v>
      </c>
      <c r="M727">
        <v>1574</v>
      </c>
    </row>
    <row r="728" spans="6:13" x14ac:dyDescent="0.35">
      <c r="F728" s="483">
        <v>43160</v>
      </c>
      <c r="G728">
        <f t="shared" si="11"/>
        <v>2018</v>
      </c>
      <c r="H728" t="s">
        <v>1641</v>
      </c>
      <c r="I728" t="s">
        <v>976</v>
      </c>
      <c r="J728" t="s">
        <v>38</v>
      </c>
      <c r="K728" t="s">
        <v>890</v>
      </c>
      <c r="L728" t="s">
        <v>2129</v>
      </c>
      <c r="M728">
        <v>5826</v>
      </c>
    </row>
    <row r="729" spans="6:13" x14ac:dyDescent="0.35">
      <c r="F729" s="483">
        <v>42760</v>
      </c>
      <c r="G729">
        <f t="shared" si="11"/>
        <v>2017</v>
      </c>
      <c r="H729" t="s">
        <v>1642</v>
      </c>
      <c r="I729" t="s">
        <v>885</v>
      </c>
      <c r="J729" t="s">
        <v>31</v>
      </c>
      <c r="K729" t="s">
        <v>890</v>
      </c>
      <c r="L729" t="s">
        <v>2125</v>
      </c>
      <c r="M729">
        <v>6870</v>
      </c>
    </row>
    <row r="730" spans="6:13" x14ac:dyDescent="0.35">
      <c r="F730" s="483">
        <v>43144</v>
      </c>
      <c r="G730">
        <f t="shared" si="11"/>
        <v>2018</v>
      </c>
      <c r="H730" t="s">
        <v>1643</v>
      </c>
      <c r="I730" t="s">
        <v>885</v>
      </c>
      <c r="J730" t="s">
        <v>33</v>
      </c>
      <c r="K730" t="s">
        <v>890</v>
      </c>
      <c r="L730" t="s">
        <v>2126</v>
      </c>
      <c r="M730">
        <v>1291</v>
      </c>
    </row>
    <row r="731" spans="6:13" x14ac:dyDescent="0.35">
      <c r="F731" s="483">
        <v>43247</v>
      </c>
      <c r="G731">
        <f t="shared" si="11"/>
        <v>2018</v>
      </c>
      <c r="H731" t="s">
        <v>1644</v>
      </c>
      <c r="I731" t="s">
        <v>893</v>
      </c>
      <c r="J731" t="s">
        <v>38</v>
      </c>
      <c r="K731" t="s">
        <v>2123</v>
      </c>
      <c r="L731" t="s">
        <v>2132</v>
      </c>
      <c r="M731">
        <v>3423</v>
      </c>
    </row>
    <row r="732" spans="6:13" x14ac:dyDescent="0.35">
      <c r="F732" s="483">
        <v>43133</v>
      </c>
      <c r="G732">
        <f t="shared" si="11"/>
        <v>2018</v>
      </c>
      <c r="H732" t="s">
        <v>1645</v>
      </c>
      <c r="I732" t="s">
        <v>906</v>
      </c>
      <c r="J732" t="s">
        <v>36</v>
      </c>
      <c r="K732" t="s">
        <v>890</v>
      </c>
      <c r="L732" t="s">
        <v>2124</v>
      </c>
      <c r="M732">
        <v>7536</v>
      </c>
    </row>
    <row r="733" spans="6:13" x14ac:dyDescent="0.35">
      <c r="F733" s="483">
        <v>43464</v>
      </c>
      <c r="G733">
        <f t="shared" si="11"/>
        <v>2018</v>
      </c>
      <c r="H733" t="s">
        <v>1646</v>
      </c>
      <c r="I733" t="s">
        <v>982</v>
      </c>
      <c r="J733" t="s">
        <v>24</v>
      </c>
      <c r="K733" t="s">
        <v>2123</v>
      </c>
      <c r="L733" t="s">
        <v>2130</v>
      </c>
      <c r="M733">
        <v>2074</v>
      </c>
    </row>
    <row r="734" spans="6:13" x14ac:dyDescent="0.35">
      <c r="F734" s="483">
        <v>43069</v>
      </c>
      <c r="G734">
        <f t="shared" si="11"/>
        <v>2017</v>
      </c>
      <c r="H734" t="s">
        <v>1647</v>
      </c>
      <c r="I734" t="s">
        <v>885</v>
      </c>
      <c r="J734" t="s">
        <v>23</v>
      </c>
      <c r="K734" t="s">
        <v>907</v>
      </c>
      <c r="L734" t="s">
        <v>2127</v>
      </c>
      <c r="M734">
        <v>6101</v>
      </c>
    </row>
    <row r="735" spans="6:13" x14ac:dyDescent="0.35">
      <c r="F735" s="483">
        <v>43201</v>
      </c>
      <c r="G735">
        <f t="shared" si="11"/>
        <v>2018</v>
      </c>
      <c r="H735" t="s">
        <v>1648</v>
      </c>
      <c r="I735" t="s">
        <v>885</v>
      </c>
      <c r="J735" t="s">
        <v>24</v>
      </c>
      <c r="K735" t="s">
        <v>882</v>
      </c>
      <c r="L735" t="s">
        <v>2129</v>
      </c>
      <c r="M735">
        <v>1969</v>
      </c>
    </row>
    <row r="736" spans="6:13" x14ac:dyDescent="0.35">
      <c r="F736" s="483">
        <v>43212</v>
      </c>
      <c r="G736">
        <f t="shared" si="11"/>
        <v>2018</v>
      </c>
      <c r="H736" t="s">
        <v>1649</v>
      </c>
      <c r="I736" t="s">
        <v>885</v>
      </c>
      <c r="J736" t="s">
        <v>28</v>
      </c>
      <c r="K736" t="s">
        <v>882</v>
      </c>
      <c r="L736" t="s">
        <v>2129</v>
      </c>
      <c r="M736">
        <v>3885</v>
      </c>
    </row>
    <row r="737" spans="6:13" x14ac:dyDescent="0.35">
      <c r="F737" s="483">
        <v>43123</v>
      </c>
      <c r="G737">
        <f t="shared" si="11"/>
        <v>2018</v>
      </c>
      <c r="H737" t="s">
        <v>1650</v>
      </c>
      <c r="I737" t="s">
        <v>885</v>
      </c>
      <c r="J737" t="s">
        <v>33</v>
      </c>
      <c r="K737" t="s">
        <v>2123</v>
      </c>
      <c r="L737" t="s">
        <v>2130</v>
      </c>
      <c r="M737">
        <v>5827</v>
      </c>
    </row>
    <row r="738" spans="6:13" x14ac:dyDescent="0.35">
      <c r="F738" s="483">
        <v>42773</v>
      </c>
      <c r="G738">
        <f t="shared" si="11"/>
        <v>2017</v>
      </c>
      <c r="H738" t="s">
        <v>1651</v>
      </c>
      <c r="I738" t="s">
        <v>1018</v>
      </c>
      <c r="J738" t="s">
        <v>34</v>
      </c>
      <c r="K738" t="s">
        <v>907</v>
      </c>
      <c r="L738" t="s">
        <v>2133</v>
      </c>
      <c r="M738">
        <v>5908</v>
      </c>
    </row>
    <row r="739" spans="6:13" x14ac:dyDescent="0.35">
      <c r="F739" s="483">
        <v>42833</v>
      </c>
      <c r="G739">
        <f t="shared" si="11"/>
        <v>2017</v>
      </c>
      <c r="H739" t="s">
        <v>1652</v>
      </c>
      <c r="I739" t="s">
        <v>906</v>
      </c>
      <c r="J739" t="s">
        <v>29</v>
      </c>
      <c r="K739" t="s">
        <v>907</v>
      </c>
      <c r="L739" t="s">
        <v>2125</v>
      </c>
      <c r="M739">
        <v>2852</v>
      </c>
    </row>
    <row r="740" spans="6:13" x14ac:dyDescent="0.35">
      <c r="F740" s="483">
        <v>43168</v>
      </c>
      <c r="G740">
        <f t="shared" si="11"/>
        <v>2018</v>
      </c>
      <c r="H740" t="s">
        <v>1653</v>
      </c>
      <c r="I740" t="s">
        <v>885</v>
      </c>
      <c r="J740" t="s">
        <v>33</v>
      </c>
      <c r="K740" t="s">
        <v>907</v>
      </c>
      <c r="L740" t="s">
        <v>2128</v>
      </c>
      <c r="M740">
        <v>7984</v>
      </c>
    </row>
    <row r="741" spans="6:13" x14ac:dyDescent="0.35">
      <c r="F741" s="483">
        <v>43219</v>
      </c>
      <c r="G741">
        <f t="shared" si="11"/>
        <v>2018</v>
      </c>
      <c r="H741" t="s">
        <v>1654</v>
      </c>
      <c r="I741" t="s">
        <v>987</v>
      </c>
      <c r="J741" t="s">
        <v>30</v>
      </c>
      <c r="K741" t="s">
        <v>890</v>
      </c>
      <c r="L741" t="s">
        <v>2124</v>
      </c>
      <c r="M741">
        <v>2494</v>
      </c>
    </row>
    <row r="742" spans="6:13" x14ac:dyDescent="0.35">
      <c r="F742" s="483">
        <v>42882</v>
      </c>
      <c r="G742">
        <f t="shared" si="11"/>
        <v>2017</v>
      </c>
      <c r="H742" t="s">
        <v>1655</v>
      </c>
      <c r="I742" t="s">
        <v>885</v>
      </c>
      <c r="J742" t="s">
        <v>34</v>
      </c>
      <c r="K742" t="s">
        <v>907</v>
      </c>
      <c r="L742" t="s">
        <v>2127</v>
      </c>
      <c r="M742">
        <v>7563</v>
      </c>
    </row>
    <row r="743" spans="6:13" x14ac:dyDescent="0.35">
      <c r="F743" s="483">
        <v>43459</v>
      </c>
      <c r="G743">
        <f t="shared" si="11"/>
        <v>2018</v>
      </c>
      <c r="H743" t="s">
        <v>1656</v>
      </c>
      <c r="I743" t="s">
        <v>932</v>
      </c>
      <c r="J743" t="s">
        <v>30</v>
      </c>
      <c r="K743" t="s">
        <v>907</v>
      </c>
      <c r="L743" t="s">
        <v>2127</v>
      </c>
      <c r="M743">
        <v>8414</v>
      </c>
    </row>
    <row r="744" spans="6:13" x14ac:dyDescent="0.35">
      <c r="F744" s="483">
        <v>43220</v>
      </c>
      <c r="G744">
        <f t="shared" si="11"/>
        <v>2018</v>
      </c>
      <c r="H744" t="s">
        <v>1657</v>
      </c>
      <c r="I744" t="s">
        <v>885</v>
      </c>
      <c r="J744" t="s">
        <v>33</v>
      </c>
      <c r="K744" t="s">
        <v>890</v>
      </c>
      <c r="L744" t="s">
        <v>2124</v>
      </c>
      <c r="M744">
        <v>1526</v>
      </c>
    </row>
    <row r="745" spans="6:13" x14ac:dyDescent="0.35">
      <c r="F745" s="483">
        <v>43267</v>
      </c>
      <c r="G745">
        <f t="shared" si="11"/>
        <v>2018</v>
      </c>
      <c r="H745" t="s">
        <v>1658</v>
      </c>
      <c r="I745" t="s">
        <v>1210</v>
      </c>
      <c r="J745" t="s">
        <v>24</v>
      </c>
      <c r="K745" t="s">
        <v>890</v>
      </c>
      <c r="L745" t="s">
        <v>2133</v>
      </c>
      <c r="M745">
        <v>7513</v>
      </c>
    </row>
    <row r="746" spans="6:13" x14ac:dyDescent="0.35">
      <c r="F746" s="483">
        <v>42787</v>
      </c>
      <c r="G746">
        <f t="shared" si="11"/>
        <v>2017</v>
      </c>
      <c r="H746" t="s">
        <v>1659</v>
      </c>
      <c r="I746" t="s">
        <v>885</v>
      </c>
      <c r="J746" t="s">
        <v>34</v>
      </c>
      <c r="K746" t="s">
        <v>2123</v>
      </c>
      <c r="L746" t="s">
        <v>2132</v>
      </c>
      <c r="M746">
        <v>1285</v>
      </c>
    </row>
    <row r="747" spans="6:13" x14ac:dyDescent="0.35">
      <c r="F747" s="483">
        <v>43014</v>
      </c>
      <c r="G747">
        <f t="shared" si="11"/>
        <v>2017</v>
      </c>
      <c r="H747" t="s">
        <v>1660</v>
      </c>
      <c r="I747" t="s">
        <v>881</v>
      </c>
      <c r="J747" t="s">
        <v>35</v>
      </c>
      <c r="K747" t="s">
        <v>890</v>
      </c>
      <c r="L747" t="s">
        <v>2129</v>
      </c>
      <c r="M747">
        <v>7007</v>
      </c>
    </row>
    <row r="748" spans="6:13" x14ac:dyDescent="0.35">
      <c r="F748" s="483">
        <v>43310</v>
      </c>
      <c r="G748">
        <f t="shared" si="11"/>
        <v>2018</v>
      </c>
      <c r="H748" t="s">
        <v>1661</v>
      </c>
      <c r="I748" t="s">
        <v>881</v>
      </c>
      <c r="J748" t="s">
        <v>29</v>
      </c>
      <c r="K748" t="s">
        <v>882</v>
      </c>
      <c r="L748" t="s">
        <v>2128</v>
      </c>
      <c r="M748">
        <v>4950</v>
      </c>
    </row>
    <row r="749" spans="6:13" x14ac:dyDescent="0.35">
      <c r="F749" s="483">
        <v>43338</v>
      </c>
      <c r="G749">
        <f t="shared" si="11"/>
        <v>2018</v>
      </c>
      <c r="H749" t="s">
        <v>1662</v>
      </c>
      <c r="I749" t="s">
        <v>881</v>
      </c>
      <c r="J749" t="s">
        <v>24</v>
      </c>
      <c r="K749" t="s">
        <v>890</v>
      </c>
      <c r="L749" t="s">
        <v>2128</v>
      </c>
      <c r="M749">
        <v>5396</v>
      </c>
    </row>
    <row r="750" spans="6:13" x14ac:dyDescent="0.35">
      <c r="F750" s="483">
        <v>42877</v>
      </c>
      <c r="G750">
        <f t="shared" si="11"/>
        <v>2017</v>
      </c>
      <c r="H750" t="s">
        <v>1663</v>
      </c>
      <c r="I750" t="s">
        <v>881</v>
      </c>
      <c r="J750" t="s">
        <v>37</v>
      </c>
      <c r="K750" t="s">
        <v>890</v>
      </c>
      <c r="L750" t="s">
        <v>2125</v>
      </c>
      <c r="M750">
        <v>4486</v>
      </c>
    </row>
    <row r="751" spans="6:13" x14ac:dyDescent="0.35">
      <c r="F751" s="483">
        <v>43095</v>
      </c>
      <c r="G751">
        <f t="shared" si="11"/>
        <v>2017</v>
      </c>
      <c r="H751" t="s">
        <v>1664</v>
      </c>
      <c r="I751" t="s">
        <v>881</v>
      </c>
      <c r="J751" t="s">
        <v>23</v>
      </c>
      <c r="K751" t="s">
        <v>2123</v>
      </c>
      <c r="L751" t="s">
        <v>2127</v>
      </c>
      <c r="M751">
        <v>2491</v>
      </c>
    </row>
    <row r="752" spans="6:13" x14ac:dyDescent="0.35">
      <c r="F752" s="483">
        <v>43412</v>
      </c>
      <c r="G752">
        <f t="shared" si="11"/>
        <v>2018</v>
      </c>
      <c r="H752" t="s">
        <v>1665</v>
      </c>
      <c r="I752" t="s">
        <v>881</v>
      </c>
      <c r="J752" t="s">
        <v>33</v>
      </c>
      <c r="K752" t="s">
        <v>907</v>
      </c>
      <c r="L752" t="s">
        <v>2127</v>
      </c>
      <c r="M752">
        <v>6846</v>
      </c>
    </row>
    <row r="753" spans="6:13" x14ac:dyDescent="0.35">
      <c r="F753" s="483">
        <v>42754</v>
      </c>
      <c r="G753">
        <f t="shared" si="11"/>
        <v>2017</v>
      </c>
      <c r="H753" t="s">
        <v>1666</v>
      </c>
      <c r="I753" t="s">
        <v>881</v>
      </c>
      <c r="J753" t="s">
        <v>24</v>
      </c>
      <c r="K753" t="s">
        <v>890</v>
      </c>
      <c r="L753" t="s">
        <v>2126</v>
      </c>
      <c r="M753">
        <v>5590</v>
      </c>
    </row>
    <row r="754" spans="6:13" x14ac:dyDescent="0.35">
      <c r="F754" s="483">
        <v>42810</v>
      </c>
      <c r="G754">
        <f t="shared" si="11"/>
        <v>2017</v>
      </c>
      <c r="H754" t="s">
        <v>1667</v>
      </c>
      <c r="I754" t="s">
        <v>881</v>
      </c>
      <c r="J754" t="s">
        <v>37</v>
      </c>
      <c r="K754" t="s">
        <v>882</v>
      </c>
      <c r="L754" t="s">
        <v>2128</v>
      </c>
      <c r="M754">
        <v>1943</v>
      </c>
    </row>
    <row r="755" spans="6:13" x14ac:dyDescent="0.35">
      <c r="F755" s="483">
        <v>43187</v>
      </c>
      <c r="G755">
        <f t="shared" si="11"/>
        <v>2018</v>
      </c>
      <c r="H755" t="s">
        <v>1668</v>
      </c>
      <c r="I755" t="s">
        <v>881</v>
      </c>
      <c r="J755" t="s">
        <v>38</v>
      </c>
      <c r="K755" t="s">
        <v>882</v>
      </c>
      <c r="L755" t="s">
        <v>2124</v>
      </c>
      <c r="M755">
        <v>3164</v>
      </c>
    </row>
    <row r="756" spans="6:13" x14ac:dyDescent="0.35">
      <c r="F756" s="483">
        <v>42741</v>
      </c>
      <c r="G756">
        <f t="shared" si="11"/>
        <v>2017</v>
      </c>
      <c r="H756" t="s">
        <v>1669</v>
      </c>
      <c r="I756" t="s">
        <v>881</v>
      </c>
      <c r="J756" t="s">
        <v>38</v>
      </c>
      <c r="K756" t="s">
        <v>882</v>
      </c>
      <c r="L756" t="s">
        <v>2133</v>
      </c>
      <c r="M756">
        <v>8855</v>
      </c>
    </row>
    <row r="757" spans="6:13" x14ac:dyDescent="0.35">
      <c r="F757" s="483">
        <v>42742</v>
      </c>
      <c r="G757">
        <f t="shared" si="11"/>
        <v>2017</v>
      </c>
      <c r="H757" t="s">
        <v>1670</v>
      </c>
      <c r="I757" t="s">
        <v>930</v>
      </c>
      <c r="J757" t="s">
        <v>37</v>
      </c>
      <c r="K757" t="s">
        <v>882</v>
      </c>
      <c r="L757" t="s">
        <v>2130</v>
      </c>
      <c r="M757">
        <v>1080</v>
      </c>
    </row>
    <row r="758" spans="6:13" x14ac:dyDescent="0.35">
      <c r="F758" s="483">
        <v>43101</v>
      </c>
      <c r="G758">
        <f t="shared" si="11"/>
        <v>2018</v>
      </c>
      <c r="H758" t="s">
        <v>1671</v>
      </c>
      <c r="I758" t="s">
        <v>881</v>
      </c>
      <c r="J758" t="s">
        <v>34</v>
      </c>
      <c r="K758" t="s">
        <v>890</v>
      </c>
      <c r="L758" t="s">
        <v>2131</v>
      </c>
      <c r="M758">
        <v>3484</v>
      </c>
    </row>
    <row r="759" spans="6:13" x14ac:dyDescent="0.35">
      <c r="F759" s="483">
        <v>42782</v>
      </c>
      <c r="G759">
        <f t="shared" si="11"/>
        <v>2017</v>
      </c>
      <c r="H759" t="s">
        <v>1672</v>
      </c>
      <c r="I759" t="s">
        <v>881</v>
      </c>
      <c r="J759" t="s">
        <v>38</v>
      </c>
      <c r="K759" t="s">
        <v>890</v>
      </c>
      <c r="L759" t="s">
        <v>2129</v>
      </c>
      <c r="M759">
        <v>1589</v>
      </c>
    </row>
    <row r="760" spans="6:13" x14ac:dyDescent="0.35">
      <c r="F760" s="483">
        <v>43209</v>
      </c>
      <c r="G760">
        <f t="shared" si="11"/>
        <v>2018</v>
      </c>
      <c r="H760" t="s">
        <v>1673</v>
      </c>
      <c r="I760" t="s">
        <v>881</v>
      </c>
      <c r="J760" t="s">
        <v>23</v>
      </c>
      <c r="K760" t="s">
        <v>882</v>
      </c>
      <c r="L760" t="s">
        <v>2127</v>
      </c>
      <c r="M760">
        <v>8462</v>
      </c>
    </row>
    <row r="761" spans="6:13" x14ac:dyDescent="0.35">
      <c r="F761" s="483">
        <v>43365</v>
      </c>
      <c r="G761">
        <f t="shared" si="11"/>
        <v>2018</v>
      </c>
      <c r="H761" t="s">
        <v>1674</v>
      </c>
      <c r="I761" t="s">
        <v>881</v>
      </c>
      <c r="J761" t="s">
        <v>29</v>
      </c>
      <c r="K761" t="s">
        <v>882</v>
      </c>
      <c r="L761" t="s">
        <v>2127</v>
      </c>
      <c r="M761">
        <v>4677</v>
      </c>
    </row>
    <row r="762" spans="6:13" x14ac:dyDescent="0.35">
      <c r="F762" s="483">
        <v>42897</v>
      </c>
      <c r="G762">
        <f t="shared" si="11"/>
        <v>2017</v>
      </c>
      <c r="H762" t="s">
        <v>1675</v>
      </c>
      <c r="I762" t="s">
        <v>885</v>
      </c>
      <c r="J762" t="s">
        <v>30</v>
      </c>
      <c r="K762" t="s">
        <v>890</v>
      </c>
      <c r="L762" t="s">
        <v>2129</v>
      </c>
      <c r="M762">
        <v>3416</v>
      </c>
    </row>
    <row r="763" spans="6:13" x14ac:dyDescent="0.35">
      <c r="F763" s="483">
        <v>43460</v>
      </c>
      <c r="G763">
        <f t="shared" si="11"/>
        <v>2018</v>
      </c>
      <c r="H763" t="s">
        <v>1676</v>
      </c>
      <c r="I763" t="s">
        <v>881</v>
      </c>
      <c r="J763" t="s">
        <v>38</v>
      </c>
      <c r="K763" t="s">
        <v>907</v>
      </c>
      <c r="L763" t="s">
        <v>2125</v>
      </c>
      <c r="M763">
        <v>2433</v>
      </c>
    </row>
    <row r="764" spans="6:13" x14ac:dyDescent="0.35">
      <c r="F764" s="483">
        <v>43018</v>
      </c>
      <c r="G764">
        <f t="shared" si="11"/>
        <v>2017</v>
      </c>
      <c r="H764" t="s">
        <v>1677</v>
      </c>
      <c r="I764" t="s">
        <v>881</v>
      </c>
      <c r="J764" t="s">
        <v>33</v>
      </c>
      <c r="K764" t="s">
        <v>882</v>
      </c>
      <c r="L764" t="s">
        <v>2131</v>
      </c>
      <c r="M764">
        <v>3620</v>
      </c>
    </row>
    <row r="765" spans="6:13" x14ac:dyDescent="0.35">
      <c r="F765" s="483">
        <v>42742</v>
      </c>
      <c r="G765">
        <f t="shared" si="11"/>
        <v>2017</v>
      </c>
      <c r="H765" t="s">
        <v>1678</v>
      </c>
      <c r="I765" t="s">
        <v>881</v>
      </c>
      <c r="J765" t="s">
        <v>32</v>
      </c>
      <c r="K765" t="s">
        <v>2123</v>
      </c>
      <c r="L765" t="s">
        <v>2131</v>
      </c>
      <c r="M765">
        <v>4113</v>
      </c>
    </row>
    <row r="766" spans="6:13" x14ac:dyDescent="0.35">
      <c r="F766" s="483">
        <v>43445</v>
      </c>
      <c r="G766">
        <f t="shared" si="11"/>
        <v>2018</v>
      </c>
      <c r="H766" t="s">
        <v>1679</v>
      </c>
      <c r="I766" t="s">
        <v>881</v>
      </c>
      <c r="J766" t="s">
        <v>28</v>
      </c>
      <c r="K766" t="s">
        <v>882</v>
      </c>
      <c r="L766" t="s">
        <v>2128</v>
      </c>
      <c r="M766">
        <v>5805</v>
      </c>
    </row>
    <row r="767" spans="6:13" x14ac:dyDescent="0.35">
      <c r="F767" s="483">
        <v>42927</v>
      </c>
      <c r="G767">
        <f t="shared" si="11"/>
        <v>2017</v>
      </c>
      <c r="H767" t="s">
        <v>1680</v>
      </c>
      <c r="I767" t="s">
        <v>881</v>
      </c>
      <c r="J767" t="s">
        <v>23</v>
      </c>
      <c r="K767" t="s">
        <v>890</v>
      </c>
      <c r="L767" t="s">
        <v>2131</v>
      </c>
      <c r="M767">
        <v>4315</v>
      </c>
    </row>
    <row r="768" spans="6:13" x14ac:dyDescent="0.35">
      <c r="F768" s="483">
        <v>42892</v>
      </c>
      <c r="G768">
        <f t="shared" si="11"/>
        <v>2017</v>
      </c>
      <c r="H768" t="s">
        <v>1681</v>
      </c>
      <c r="I768" t="s">
        <v>881</v>
      </c>
      <c r="J768" t="s">
        <v>26</v>
      </c>
      <c r="K768" t="s">
        <v>890</v>
      </c>
      <c r="L768" t="s">
        <v>2129</v>
      </c>
      <c r="M768">
        <v>4250</v>
      </c>
    </row>
    <row r="769" spans="6:13" x14ac:dyDescent="0.35">
      <c r="F769" s="483">
        <v>43456</v>
      </c>
      <c r="G769">
        <f t="shared" si="11"/>
        <v>2018</v>
      </c>
      <c r="H769" t="s">
        <v>1682</v>
      </c>
      <c r="I769" t="s">
        <v>1183</v>
      </c>
      <c r="J769" t="s">
        <v>34</v>
      </c>
      <c r="K769" t="s">
        <v>890</v>
      </c>
      <c r="L769" t="s">
        <v>2129</v>
      </c>
      <c r="M769">
        <v>3295</v>
      </c>
    </row>
    <row r="770" spans="6:13" x14ac:dyDescent="0.35">
      <c r="F770" s="483">
        <v>42843</v>
      </c>
      <c r="G770">
        <f t="shared" si="11"/>
        <v>2017</v>
      </c>
      <c r="H770" t="s">
        <v>1683</v>
      </c>
      <c r="I770" t="s">
        <v>881</v>
      </c>
      <c r="J770" t="s">
        <v>37</v>
      </c>
      <c r="K770" t="s">
        <v>2123</v>
      </c>
      <c r="L770" t="s">
        <v>2133</v>
      </c>
      <c r="M770">
        <v>2361</v>
      </c>
    </row>
    <row r="771" spans="6:13" x14ac:dyDescent="0.35">
      <c r="F771" s="483">
        <v>43243</v>
      </c>
      <c r="G771">
        <f t="shared" si="11"/>
        <v>2018</v>
      </c>
      <c r="H771" t="s">
        <v>1684</v>
      </c>
      <c r="I771" t="s">
        <v>885</v>
      </c>
      <c r="J771" t="s">
        <v>29</v>
      </c>
      <c r="K771" t="s">
        <v>890</v>
      </c>
      <c r="L771" t="s">
        <v>2126</v>
      </c>
      <c r="M771">
        <v>7400</v>
      </c>
    </row>
    <row r="772" spans="6:13" x14ac:dyDescent="0.35">
      <c r="F772" s="483">
        <v>43410</v>
      </c>
      <c r="G772">
        <f t="shared" si="11"/>
        <v>2018</v>
      </c>
      <c r="H772" t="s">
        <v>1685</v>
      </c>
      <c r="I772" t="s">
        <v>881</v>
      </c>
      <c r="J772" t="s">
        <v>24</v>
      </c>
      <c r="K772" t="s">
        <v>890</v>
      </c>
      <c r="L772" t="s">
        <v>2131</v>
      </c>
      <c r="M772">
        <v>4151</v>
      </c>
    </row>
    <row r="773" spans="6:13" x14ac:dyDescent="0.35">
      <c r="F773" s="483">
        <v>42753</v>
      </c>
      <c r="G773">
        <f t="shared" si="11"/>
        <v>2017</v>
      </c>
      <c r="H773" t="s">
        <v>1686</v>
      </c>
      <c r="I773" t="s">
        <v>881</v>
      </c>
      <c r="J773" t="s">
        <v>24</v>
      </c>
      <c r="K773" t="s">
        <v>2123</v>
      </c>
      <c r="L773" t="s">
        <v>2128</v>
      </c>
      <c r="M773">
        <v>8916</v>
      </c>
    </row>
    <row r="774" spans="6:13" x14ac:dyDescent="0.35">
      <c r="F774" s="483">
        <v>43427</v>
      </c>
      <c r="G774">
        <f t="shared" si="11"/>
        <v>2018</v>
      </c>
      <c r="H774" t="s">
        <v>1687</v>
      </c>
      <c r="I774" t="s">
        <v>881</v>
      </c>
      <c r="J774" t="s">
        <v>29</v>
      </c>
      <c r="K774" t="s">
        <v>2123</v>
      </c>
      <c r="L774" t="s">
        <v>2126</v>
      </c>
      <c r="M774">
        <v>2124</v>
      </c>
    </row>
    <row r="775" spans="6:13" x14ac:dyDescent="0.35">
      <c r="F775" s="483">
        <v>42952</v>
      </c>
      <c r="G775">
        <f t="shared" si="11"/>
        <v>2017</v>
      </c>
      <c r="H775" t="s">
        <v>1688</v>
      </c>
      <c r="I775" t="s">
        <v>885</v>
      </c>
      <c r="J775" t="s">
        <v>31</v>
      </c>
      <c r="K775" t="s">
        <v>882</v>
      </c>
      <c r="L775" t="s">
        <v>2132</v>
      </c>
      <c r="M775">
        <v>2026</v>
      </c>
    </row>
    <row r="776" spans="6:13" x14ac:dyDescent="0.35">
      <c r="F776" s="483">
        <v>42793</v>
      </c>
      <c r="G776">
        <f t="shared" si="11"/>
        <v>2017</v>
      </c>
      <c r="H776" t="s">
        <v>1689</v>
      </c>
      <c r="I776" t="s">
        <v>881</v>
      </c>
      <c r="J776" t="s">
        <v>30</v>
      </c>
      <c r="K776" t="s">
        <v>907</v>
      </c>
      <c r="L776" t="s">
        <v>2127</v>
      </c>
      <c r="M776">
        <v>2806</v>
      </c>
    </row>
    <row r="777" spans="6:13" x14ac:dyDescent="0.35">
      <c r="F777" s="483">
        <v>42887</v>
      </c>
      <c r="G777">
        <f t="shared" si="11"/>
        <v>2017</v>
      </c>
      <c r="H777" t="s">
        <v>1690</v>
      </c>
      <c r="I777" t="s">
        <v>881</v>
      </c>
      <c r="J777" t="s">
        <v>37</v>
      </c>
      <c r="K777" t="s">
        <v>890</v>
      </c>
      <c r="L777" t="s">
        <v>2130</v>
      </c>
      <c r="M777">
        <v>5297</v>
      </c>
    </row>
    <row r="778" spans="6:13" x14ac:dyDescent="0.35">
      <c r="F778" s="483">
        <v>42760</v>
      </c>
      <c r="G778">
        <f t="shared" ref="G778:G841" si="12">YEAR(F778)</f>
        <v>2017</v>
      </c>
      <c r="H778" t="s">
        <v>1691</v>
      </c>
      <c r="I778" t="s">
        <v>881</v>
      </c>
      <c r="J778" t="s">
        <v>30</v>
      </c>
      <c r="K778" t="s">
        <v>882</v>
      </c>
      <c r="L778" t="s">
        <v>2126</v>
      </c>
      <c r="M778">
        <v>3338</v>
      </c>
    </row>
    <row r="779" spans="6:13" x14ac:dyDescent="0.35">
      <c r="F779" s="483">
        <v>43260</v>
      </c>
      <c r="G779">
        <f t="shared" si="12"/>
        <v>2018</v>
      </c>
      <c r="H779" t="s">
        <v>1692</v>
      </c>
      <c r="I779" t="s">
        <v>881</v>
      </c>
      <c r="J779" t="s">
        <v>34</v>
      </c>
      <c r="K779" t="s">
        <v>907</v>
      </c>
      <c r="L779" t="s">
        <v>2132</v>
      </c>
      <c r="M779">
        <v>7069</v>
      </c>
    </row>
    <row r="780" spans="6:13" x14ac:dyDescent="0.35">
      <c r="F780" s="483">
        <v>42754</v>
      </c>
      <c r="G780">
        <f t="shared" si="12"/>
        <v>2017</v>
      </c>
      <c r="H780" t="s">
        <v>1693</v>
      </c>
      <c r="I780" t="s">
        <v>1131</v>
      </c>
      <c r="J780" t="s">
        <v>29</v>
      </c>
      <c r="K780" t="s">
        <v>2123</v>
      </c>
      <c r="L780" t="s">
        <v>2130</v>
      </c>
      <c r="M780">
        <v>3786</v>
      </c>
    </row>
    <row r="781" spans="6:13" x14ac:dyDescent="0.35">
      <c r="F781" s="483">
        <v>43320</v>
      </c>
      <c r="G781">
        <f t="shared" si="12"/>
        <v>2018</v>
      </c>
      <c r="H781" t="s">
        <v>1694</v>
      </c>
      <c r="I781" t="s">
        <v>881</v>
      </c>
      <c r="J781" t="s">
        <v>30</v>
      </c>
      <c r="K781" t="s">
        <v>907</v>
      </c>
      <c r="L781" t="s">
        <v>2131</v>
      </c>
      <c r="M781">
        <v>7052</v>
      </c>
    </row>
    <row r="782" spans="6:13" x14ac:dyDescent="0.35">
      <c r="F782" s="483">
        <v>43415</v>
      </c>
      <c r="G782">
        <f t="shared" si="12"/>
        <v>2018</v>
      </c>
      <c r="H782" t="s">
        <v>1695</v>
      </c>
      <c r="I782" t="s">
        <v>1183</v>
      </c>
      <c r="J782" t="s">
        <v>33</v>
      </c>
      <c r="K782" t="s">
        <v>2123</v>
      </c>
      <c r="L782" t="s">
        <v>2125</v>
      </c>
      <c r="M782">
        <v>3006</v>
      </c>
    </row>
    <row r="783" spans="6:13" x14ac:dyDescent="0.35">
      <c r="F783" s="483">
        <v>43338</v>
      </c>
      <c r="G783">
        <f t="shared" si="12"/>
        <v>2018</v>
      </c>
      <c r="H783" t="s">
        <v>1696</v>
      </c>
      <c r="I783" t="s">
        <v>881</v>
      </c>
      <c r="J783" t="s">
        <v>26</v>
      </c>
      <c r="K783" t="s">
        <v>2123</v>
      </c>
      <c r="L783" t="s">
        <v>2128</v>
      </c>
      <c r="M783">
        <v>4241</v>
      </c>
    </row>
    <row r="784" spans="6:13" x14ac:dyDescent="0.35">
      <c r="F784" s="483">
        <v>43187</v>
      </c>
      <c r="G784">
        <f t="shared" si="12"/>
        <v>2018</v>
      </c>
      <c r="H784" t="s">
        <v>1697</v>
      </c>
      <c r="I784" t="s">
        <v>881</v>
      </c>
      <c r="J784" t="s">
        <v>26</v>
      </c>
      <c r="K784" t="s">
        <v>2123</v>
      </c>
      <c r="L784" t="s">
        <v>2129</v>
      </c>
      <c r="M784">
        <v>2463</v>
      </c>
    </row>
    <row r="785" spans="6:13" x14ac:dyDescent="0.35">
      <c r="F785" s="483">
        <v>43229</v>
      </c>
      <c r="G785">
        <f t="shared" si="12"/>
        <v>2018</v>
      </c>
      <c r="H785" t="s">
        <v>1698</v>
      </c>
      <c r="I785" t="s">
        <v>1210</v>
      </c>
      <c r="J785" t="s">
        <v>30</v>
      </c>
      <c r="K785" t="s">
        <v>882</v>
      </c>
      <c r="L785" t="s">
        <v>2126</v>
      </c>
      <c r="M785">
        <v>5342</v>
      </c>
    </row>
    <row r="786" spans="6:13" x14ac:dyDescent="0.35">
      <c r="F786" s="483">
        <v>43402</v>
      </c>
      <c r="G786">
        <f t="shared" si="12"/>
        <v>2018</v>
      </c>
      <c r="H786" t="s">
        <v>1699</v>
      </c>
      <c r="I786" t="s">
        <v>881</v>
      </c>
      <c r="J786" t="s">
        <v>28</v>
      </c>
      <c r="K786" t="s">
        <v>882</v>
      </c>
      <c r="L786" t="s">
        <v>2127</v>
      </c>
      <c r="M786">
        <v>5531</v>
      </c>
    </row>
    <row r="787" spans="6:13" x14ac:dyDescent="0.35">
      <c r="F787" s="483">
        <v>42907</v>
      </c>
      <c r="G787">
        <f t="shared" si="12"/>
        <v>2017</v>
      </c>
      <c r="H787" t="s">
        <v>1700</v>
      </c>
      <c r="I787" t="s">
        <v>881</v>
      </c>
      <c r="J787" t="s">
        <v>26</v>
      </c>
      <c r="K787" t="s">
        <v>890</v>
      </c>
      <c r="L787" t="s">
        <v>2131</v>
      </c>
      <c r="M787">
        <v>3680</v>
      </c>
    </row>
    <row r="788" spans="6:13" x14ac:dyDescent="0.35">
      <c r="F788" s="483">
        <v>42884</v>
      </c>
      <c r="G788">
        <f t="shared" si="12"/>
        <v>2017</v>
      </c>
      <c r="H788" t="s">
        <v>1701</v>
      </c>
      <c r="I788" t="s">
        <v>881</v>
      </c>
      <c r="J788" t="s">
        <v>38</v>
      </c>
      <c r="K788" t="s">
        <v>907</v>
      </c>
      <c r="L788" t="s">
        <v>2129</v>
      </c>
      <c r="M788">
        <v>2531</v>
      </c>
    </row>
    <row r="789" spans="6:13" x14ac:dyDescent="0.35">
      <c r="F789" s="483">
        <v>42955</v>
      </c>
      <c r="G789">
        <f t="shared" si="12"/>
        <v>2017</v>
      </c>
      <c r="H789" t="s">
        <v>1702</v>
      </c>
      <c r="I789" t="s">
        <v>885</v>
      </c>
      <c r="J789" t="s">
        <v>24</v>
      </c>
      <c r="K789" t="s">
        <v>2123</v>
      </c>
      <c r="L789" t="s">
        <v>2126</v>
      </c>
      <c r="M789">
        <v>4874</v>
      </c>
    </row>
    <row r="790" spans="6:13" x14ac:dyDescent="0.35">
      <c r="F790" s="483">
        <v>42807</v>
      </c>
      <c r="G790">
        <f t="shared" si="12"/>
        <v>2017</v>
      </c>
      <c r="H790" t="s">
        <v>1703</v>
      </c>
      <c r="I790" t="s">
        <v>885</v>
      </c>
      <c r="J790" t="s">
        <v>33</v>
      </c>
      <c r="K790" t="s">
        <v>882</v>
      </c>
      <c r="L790" t="s">
        <v>2129</v>
      </c>
      <c r="M790">
        <v>4488</v>
      </c>
    </row>
    <row r="791" spans="6:13" x14ac:dyDescent="0.35">
      <c r="F791" s="483">
        <v>42910</v>
      </c>
      <c r="G791">
        <f t="shared" si="12"/>
        <v>2017</v>
      </c>
      <c r="H791" t="s">
        <v>1704</v>
      </c>
      <c r="I791" t="s">
        <v>912</v>
      </c>
      <c r="J791" t="s">
        <v>33</v>
      </c>
      <c r="K791" t="s">
        <v>882</v>
      </c>
      <c r="L791" t="s">
        <v>2128</v>
      </c>
      <c r="M791">
        <v>6937</v>
      </c>
    </row>
    <row r="792" spans="6:13" x14ac:dyDescent="0.35">
      <c r="F792" s="483">
        <v>43293</v>
      </c>
      <c r="G792">
        <f t="shared" si="12"/>
        <v>2018</v>
      </c>
      <c r="H792" t="s">
        <v>1705</v>
      </c>
      <c r="I792" t="s">
        <v>967</v>
      </c>
      <c r="J792" t="s">
        <v>33</v>
      </c>
      <c r="K792" t="s">
        <v>882</v>
      </c>
      <c r="L792" t="s">
        <v>2128</v>
      </c>
      <c r="M792">
        <v>3750</v>
      </c>
    </row>
    <row r="793" spans="6:13" x14ac:dyDescent="0.35">
      <c r="F793" s="483">
        <v>43302</v>
      </c>
      <c r="G793">
        <f t="shared" si="12"/>
        <v>2018</v>
      </c>
      <c r="H793" t="s">
        <v>1706</v>
      </c>
      <c r="I793" t="s">
        <v>881</v>
      </c>
      <c r="J793" t="s">
        <v>31</v>
      </c>
      <c r="K793" t="s">
        <v>907</v>
      </c>
      <c r="L793" t="s">
        <v>2128</v>
      </c>
      <c r="M793">
        <v>1272</v>
      </c>
    </row>
    <row r="794" spans="6:13" x14ac:dyDescent="0.35">
      <c r="F794" s="483">
        <v>43076</v>
      </c>
      <c r="G794">
        <f t="shared" si="12"/>
        <v>2017</v>
      </c>
      <c r="H794" t="s">
        <v>1707</v>
      </c>
      <c r="I794" t="s">
        <v>881</v>
      </c>
      <c r="J794" t="s">
        <v>23</v>
      </c>
      <c r="K794" t="s">
        <v>890</v>
      </c>
      <c r="L794" t="s">
        <v>2124</v>
      </c>
      <c r="M794">
        <v>6420</v>
      </c>
    </row>
    <row r="795" spans="6:13" x14ac:dyDescent="0.35">
      <c r="F795" s="483">
        <v>42767</v>
      </c>
      <c r="G795">
        <f t="shared" si="12"/>
        <v>2017</v>
      </c>
      <c r="H795" t="s">
        <v>1708</v>
      </c>
      <c r="I795" t="s">
        <v>881</v>
      </c>
      <c r="J795" t="s">
        <v>28</v>
      </c>
      <c r="K795" t="s">
        <v>882</v>
      </c>
      <c r="L795" t="s">
        <v>2131</v>
      </c>
      <c r="M795">
        <v>3191</v>
      </c>
    </row>
    <row r="796" spans="6:13" x14ac:dyDescent="0.35">
      <c r="F796" s="483">
        <v>42974</v>
      </c>
      <c r="G796">
        <f t="shared" si="12"/>
        <v>2017</v>
      </c>
      <c r="H796" t="s">
        <v>1709</v>
      </c>
      <c r="I796" t="s">
        <v>881</v>
      </c>
      <c r="J796" t="s">
        <v>23</v>
      </c>
      <c r="K796" t="s">
        <v>890</v>
      </c>
      <c r="L796" t="s">
        <v>2133</v>
      </c>
      <c r="M796">
        <v>3439</v>
      </c>
    </row>
    <row r="797" spans="6:13" x14ac:dyDescent="0.35">
      <c r="F797" s="483">
        <v>43347</v>
      </c>
      <c r="G797">
        <f t="shared" si="12"/>
        <v>2018</v>
      </c>
      <c r="H797" t="s">
        <v>1710</v>
      </c>
      <c r="I797" t="s">
        <v>881</v>
      </c>
      <c r="J797" t="s">
        <v>30</v>
      </c>
      <c r="K797" t="s">
        <v>882</v>
      </c>
      <c r="L797" t="s">
        <v>2129</v>
      </c>
      <c r="M797">
        <v>2310</v>
      </c>
    </row>
    <row r="798" spans="6:13" x14ac:dyDescent="0.35">
      <c r="F798" s="483">
        <v>43215</v>
      </c>
      <c r="G798">
        <f t="shared" si="12"/>
        <v>2018</v>
      </c>
      <c r="H798" t="s">
        <v>1711</v>
      </c>
      <c r="I798" t="s">
        <v>885</v>
      </c>
      <c r="J798" t="s">
        <v>38</v>
      </c>
      <c r="K798" t="s">
        <v>882</v>
      </c>
      <c r="L798" t="s">
        <v>2126</v>
      </c>
      <c r="M798">
        <v>2880</v>
      </c>
    </row>
    <row r="799" spans="6:13" x14ac:dyDescent="0.35">
      <c r="F799" s="483">
        <v>43223</v>
      </c>
      <c r="G799">
        <f t="shared" si="12"/>
        <v>2018</v>
      </c>
      <c r="H799" t="s">
        <v>1712</v>
      </c>
      <c r="I799" t="s">
        <v>885</v>
      </c>
      <c r="J799" t="s">
        <v>37</v>
      </c>
      <c r="K799" t="s">
        <v>882</v>
      </c>
      <c r="L799" t="s">
        <v>2129</v>
      </c>
      <c r="M799">
        <v>5698</v>
      </c>
    </row>
    <row r="800" spans="6:13" x14ac:dyDescent="0.35">
      <c r="F800" s="483">
        <v>43262</v>
      </c>
      <c r="G800">
        <f t="shared" si="12"/>
        <v>2018</v>
      </c>
      <c r="H800" t="s">
        <v>1713</v>
      </c>
      <c r="I800" t="s">
        <v>885</v>
      </c>
      <c r="J800" t="s">
        <v>34</v>
      </c>
      <c r="K800" t="s">
        <v>907</v>
      </c>
      <c r="L800" t="s">
        <v>2130</v>
      </c>
      <c r="M800">
        <v>3348</v>
      </c>
    </row>
    <row r="801" spans="6:13" x14ac:dyDescent="0.35">
      <c r="F801" s="483">
        <v>43112</v>
      </c>
      <c r="G801">
        <f t="shared" si="12"/>
        <v>2018</v>
      </c>
      <c r="H801" t="s">
        <v>1714</v>
      </c>
      <c r="I801" t="s">
        <v>1022</v>
      </c>
      <c r="J801" t="s">
        <v>34</v>
      </c>
      <c r="K801" t="s">
        <v>907</v>
      </c>
      <c r="L801" t="s">
        <v>2125</v>
      </c>
      <c r="M801">
        <v>7609</v>
      </c>
    </row>
    <row r="802" spans="6:13" x14ac:dyDescent="0.35">
      <c r="F802" s="483">
        <v>43242</v>
      </c>
      <c r="G802">
        <f t="shared" si="12"/>
        <v>2018</v>
      </c>
      <c r="H802" t="s">
        <v>1715</v>
      </c>
      <c r="I802" t="s">
        <v>925</v>
      </c>
      <c r="J802" t="s">
        <v>28</v>
      </c>
      <c r="K802" t="s">
        <v>907</v>
      </c>
      <c r="L802" t="s">
        <v>2124</v>
      </c>
      <c r="M802">
        <v>8826</v>
      </c>
    </row>
    <row r="803" spans="6:13" x14ac:dyDescent="0.35">
      <c r="F803" s="483">
        <v>42738</v>
      </c>
      <c r="G803">
        <f t="shared" si="12"/>
        <v>2017</v>
      </c>
      <c r="H803" t="s">
        <v>1716</v>
      </c>
      <c r="I803" t="s">
        <v>885</v>
      </c>
      <c r="J803" t="s">
        <v>23</v>
      </c>
      <c r="K803" t="s">
        <v>907</v>
      </c>
      <c r="L803" t="s">
        <v>2124</v>
      </c>
      <c r="M803">
        <v>2181</v>
      </c>
    </row>
    <row r="804" spans="6:13" x14ac:dyDescent="0.35">
      <c r="F804" s="483">
        <v>43231</v>
      </c>
      <c r="G804">
        <f t="shared" si="12"/>
        <v>2018</v>
      </c>
      <c r="H804" t="s">
        <v>1717</v>
      </c>
      <c r="I804" t="s">
        <v>881</v>
      </c>
      <c r="J804" t="s">
        <v>30</v>
      </c>
      <c r="K804" t="s">
        <v>907</v>
      </c>
      <c r="L804" t="s">
        <v>2127</v>
      </c>
      <c r="M804">
        <v>5475</v>
      </c>
    </row>
    <row r="805" spans="6:13" x14ac:dyDescent="0.35">
      <c r="F805" s="483">
        <v>42772</v>
      </c>
      <c r="G805">
        <f t="shared" si="12"/>
        <v>2017</v>
      </c>
      <c r="H805" t="s">
        <v>1718</v>
      </c>
      <c r="I805" t="s">
        <v>923</v>
      </c>
      <c r="J805" t="s">
        <v>33</v>
      </c>
      <c r="K805" t="s">
        <v>890</v>
      </c>
      <c r="L805" t="s">
        <v>2130</v>
      </c>
      <c r="M805">
        <v>4028</v>
      </c>
    </row>
    <row r="806" spans="6:13" x14ac:dyDescent="0.35">
      <c r="F806" s="483">
        <v>43372</v>
      </c>
      <c r="G806">
        <f t="shared" si="12"/>
        <v>2018</v>
      </c>
      <c r="H806" t="s">
        <v>1719</v>
      </c>
      <c r="I806" t="s">
        <v>881</v>
      </c>
      <c r="J806" t="s">
        <v>35</v>
      </c>
      <c r="K806" t="s">
        <v>2123</v>
      </c>
      <c r="L806" t="s">
        <v>2128</v>
      </c>
      <c r="M806">
        <v>1793</v>
      </c>
    </row>
    <row r="807" spans="6:13" x14ac:dyDescent="0.35">
      <c r="F807" s="483">
        <v>42871</v>
      </c>
      <c r="G807">
        <f t="shared" si="12"/>
        <v>2017</v>
      </c>
      <c r="H807" t="s">
        <v>1720</v>
      </c>
      <c r="I807" t="s">
        <v>1022</v>
      </c>
      <c r="J807" t="s">
        <v>32</v>
      </c>
      <c r="K807" t="s">
        <v>882</v>
      </c>
      <c r="L807" t="s">
        <v>2129</v>
      </c>
      <c r="M807">
        <v>6434</v>
      </c>
    </row>
    <row r="808" spans="6:13" x14ac:dyDescent="0.35">
      <c r="F808" s="483">
        <v>42818</v>
      </c>
      <c r="G808">
        <f t="shared" si="12"/>
        <v>2017</v>
      </c>
      <c r="H808" t="s">
        <v>1721</v>
      </c>
      <c r="I808" t="s">
        <v>881</v>
      </c>
      <c r="J808" t="s">
        <v>24</v>
      </c>
      <c r="K808" t="s">
        <v>890</v>
      </c>
      <c r="L808" t="s">
        <v>2133</v>
      </c>
      <c r="M808">
        <v>8961</v>
      </c>
    </row>
    <row r="809" spans="6:13" x14ac:dyDescent="0.35">
      <c r="F809" s="483">
        <v>42809</v>
      </c>
      <c r="G809">
        <f t="shared" si="12"/>
        <v>2017</v>
      </c>
      <c r="H809" t="s">
        <v>1722</v>
      </c>
      <c r="I809" t="s">
        <v>881</v>
      </c>
      <c r="J809" t="s">
        <v>33</v>
      </c>
      <c r="K809" t="s">
        <v>2123</v>
      </c>
      <c r="L809" t="s">
        <v>2125</v>
      </c>
      <c r="M809">
        <v>5058</v>
      </c>
    </row>
    <row r="810" spans="6:13" x14ac:dyDescent="0.35">
      <c r="F810" s="483">
        <v>42993</v>
      </c>
      <c r="G810">
        <f t="shared" si="12"/>
        <v>2017</v>
      </c>
      <c r="H810" t="s">
        <v>1723</v>
      </c>
      <c r="I810" t="s">
        <v>881</v>
      </c>
      <c r="J810" t="s">
        <v>28</v>
      </c>
      <c r="K810" t="s">
        <v>907</v>
      </c>
      <c r="L810" t="s">
        <v>2133</v>
      </c>
      <c r="M810">
        <v>5698</v>
      </c>
    </row>
    <row r="811" spans="6:13" x14ac:dyDescent="0.35">
      <c r="F811" s="483">
        <v>42807</v>
      </c>
      <c r="G811">
        <f t="shared" si="12"/>
        <v>2017</v>
      </c>
      <c r="H811" t="s">
        <v>1724</v>
      </c>
      <c r="I811" t="s">
        <v>881</v>
      </c>
      <c r="J811" t="s">
        <v>33</v>
      </c>
      <c r="K811" t="s">
        <v>890</v>
      </c>
      <c r="L811" t="s">
        <v>2131</v>
      </c>
      <c r="M811">
        <v>8154</v>
      </c>
    </row>
    <row r="812" spans="6:13" x14ac:dyDescent="0.35">
      <c r="F812" s="483">
        <v>42967</v>
      </c>
      <c r="G812">
        <f t="shared" si="12"/>
        <v>2017</v>
      </c>
      <c r="H812" t="s">
        <v>1725</v>
      </c>
      <c r="I812" t="s">
        <v>885</v>
      </c>
      <c r="J812" t="s">
        <v>35</v>
      </c>
      <c r="K812" t="s">
        <v>882</v>
      </c>
      <c r="L812" t="s">
        <v>2129</v>
      </c>
      <c r="M812">
        <v>8496</v>
      </c>
    </row>
    <row r="813" spans="6:13" x14ac:dyDescent="0.35">
      <c r="F813" s="483">
        <v>43214</v>
      </c>
      <c r="G813">
        <f t="shared" si="12"/>
        <v>2018</v>
      </c>
      <c r="H813" t="s">
        <v>1726</v>
      </c>
      <c r="I813" t="s">
        <v>885</v>
      </c>
      <c r="J813" t="s">
        <v>24</v>
      </c>
      <c r="K813" t="s">
        <v>882</v>
      </c>
      <c r="L813" t="s">
        <v>2124</v>
      </c>
      <c r="M813">
        <v>2392</v>
      </c>
    </row>
    <row r="814" spans="6:13" x14ac:dyDescent="0.35">
      <c r="F814" s="483">
        <v>43185</v>
      </c>
      <c r="G814">
        <f t="shared" si="12"/>
        <v>2018</v>
      </c>
      <c r="H814" t="s">
        <v>1727</v>
      </c>
      <c r="I814" t="s">
        <v>881</v>
      </c>
      <c r="J814" t="s">
        <v>23</v>
      </c>
      <c r="K814" t="s">
        <v>907</v>
      </c>
      <c r="L814" t="s">
        <v>2127</v>
      </c>
      <c r="M814">
        <v>4141</v>
      </c>
    </row>
    <row r="815" spans="6:13" x14ac:dyDescent="0.35">
      <c r="F815" s="483">
        <v>43146</v>
      </c>
      <c r="G815">
        <f t="shared" si="12"/>
        <v>2018</v>
      </c>
      <c r="H815" t="s">
        <v>1728</v>
      </c>
      <c r="I815" t="s">
        <v>885</v>
      </c>
      <c r="J815" t="s">
        <v>23</v>
      </c>
      <c r="K815" t="s">
        <v>907</v>
      </c>
      <c r="L815" t="s">
        <v>2124</v>
      </c>
      <c r="M815">
        <v>3574</v>
      </c>
    </row>
    <row r="816" spans="6:13" x14ac:dyDescent="0.35">
      <c r="F816" s="483">
        <v>42856</v>
      </c>
      <c r="G816">
        <f t="shared" si="12"/>
        <v>2017</v>
      </c>
      <c r="H816" t="s">
        <v>1729</v>
      </c>
      <c r="I816" t="s">
        <v>881</v>
      </c>
      <c r="J816" t="s">
        <v>38</v>
      </c>
      <c r="K816" t="s">
        <v>2123</v>
      </c>
      <c r="L816" t="s">
        <v>2128</v>
      </c>
      <c r="M816">
        <v>5653</v>
      </c>
    </row>
    <row r="817" spans="6:13" x14ac:dyDescent="0.35">
      <c r="F817" s="483">
        <v>43464</v>
      </c>
      <c r="G817">
        <f t="shared" si="12"/>
        <v>2018</v>
      </c>
      <c r="H817" t="s">
        <v>1730</v>
      </c>
      <c r="I817" t="s">
        <v>893</v>
      </c>
      <c r="J817" t="s">
        <v>23</v>
      </c>
      <c r="K817" t="s">
        <v>907</v>
      </c>
      <c r="L817" t="s">
        <v>2130</v>
      </c>
      <c r="M817">
        <v>3719</v>
      </c>
    </row>
    <row r="818" spans="6:13" x14ac:dyDescent="0.35">
      <c r="F818" s="483">
        <v>42857</v>
      </c>
      <c r="G818">
        <f t="shared" si="12"/>
        <v>2017</v>
      </c>
      <c r="H818" t="s">
        <v>1731</v>
      </c>
      <c r="I818" t="s">
        <v>881</v>
      </c>
      <c r="J818" t="s">
        <v>32</v>
      </c>
      <c r="K818" t="s">
        <v>890</v>
      </c>
      <c r="L818" t="s">
        <v>2128</v>
      </c>
      <c r="M818">
        <v>3305</v>
      </c>
    </row>
    <row r="819" spans="6:13" x14ac:dyDescent="0.35">
      <c r="F819" s="483">
        <v>43345</v>
      </c>
      <c r="G819">
        <f t="shared" si="12"/>
        <v>2018</v>
      </c>
      <c r="H819" t="s">
        <v>1732</v>
      </c>
      <c r="I819" t="s">
        <v>881</v>
      </c>
      <c r="J819" t="s">
        <v>24</v>
      </c>
      <c r="K819" t="s">
        <v>2123</v>
      </c>
      <c r="L819" t="s">
        <v>2126</v>
      </c>
      <c r="M819">
        <v>1965</v>
      </c>
    </row>
    <row r="820" spans="6:13" x14ac:dyDescent="0.35">
      <c r="F820" s="483">
        <v>42831</v>
      </c>
      <c r="G820">
        <f t="shared" si="12"/>
        <v>2017</v>
      </c>
      <c r="H820" t="s">
        <v>1733</v>
      </c>
      <c r="I820" t="s">
        <v>881</v>
      </c>
      <c r="J820" t="s">
        <v>28</v>
      </c>
      <c r="K820" t="s">
        <v>882</v>
      </c>
      <c r="L820" t="s">
        <v>2133</v>
      </c>
      <c r="M820">
        <v>3873</v>
      </c>
    </row>
    <row r="821" spans="6:13" x14ac:dyDescent="0.35">
      <c r="F821" s="483">
        <v>43404</v>
      </c>
      <c r="G821">
        <f t="shared" si="12"/>
        <v>2018</v>
      </c>
      <c r="H821" t="s">
        <v>1734</v>
      </c>
      <c r="I821" t="s">
        <v>881</v>
      </c>
      <c r="J821" t="s">
        <v>31</v>
      </c>
      <c r="K821" t="s">
        <v>2123</v>
      </c>
      <c r="L821" t="s">
        <v>2126</v>
      </c>
      <c r="M821">
        <v>2190</v>
      </c>
    </row>
    <row r="822" spans="6:13" x14ac:dyDescent="0.35">
      <c r="F822" s="483">
        <v>43141</v>
      </c>
      <c r="G822">
        <f t="shared" si="12"/>
        <v>2018</v>
      </c>
      <c r="H822" t="s">
        <v>1735</v>
      </c>
      <c r="I822" t="s">
        <v>881</v>
      </c>
      <c r="J822" t="s">
        <v>34</v>
      </c>
      <c r="K822" t="s">
        <v>2123</v>
      </c>
      <c r="L822" t="s">
        <v>2128</v>
      </c>
      <c r="M822">
        <v>1787</v>
      </c>
    </row>
    <row r="823" spans="6:13" x14ac:dyDescent="0.35">
      <c r="F823" s="483">
        <v>42753</v>
      </c>
      <c r="G823">
        <f t="shared" si="12"/>
        <v>2017</v>
      </c>
      <c r="H823" t="s">
        <v>1736</v>
      </c>
      <c r="I823" t="s">
        <v>912</v>
      </c>
      <c r="J823" t="s">
        <v>24</v>
      </c>
      <c r="K823" t="s">
        <v>890</v>
      </c>
      <c r="L823" t="s">
        <v>2133</v>
      </c>
      <c r="M823">
        <v>6175</v>
      </c>
    </row>
    <row r="824" spans="6:13" x14ac:dyDescent="0.35">
      <c r="F824" s="483">
        <v>42773</v>
      </c>
      <c r="G824">
        <f t="shared" si="12"/>
        <v>2017</v>
      </c>
      <c r="H824" t="s">
        <v>1737</v>
      </c>
      <c r="I824" t="s">
        <v>1016</v>
      </c>
      <c r="J824" t="s">
        <v>30</v>
      </c>
      <c r="K824" t="s">
        <v>907</v>
      </c>
      <c r="L824" t="s">
        <v>2130</v>
      </c>
      <c r="M824">
        <v>2844</v>
      </c>
    </row>
    <row r="825" spans="6:13" x14ac:dyDescent="0.35">
      <c r="F825" s="483">
        <v>42852</v>
      </c>
      <c r="G825">
        <f t="shared" si="12"/>
        <v>2017</v>
      </c>
      <c r="H825" t="s">
        <v>1738</v>
      </c>
      <c r="I825" t="s">
        <v>939</v>
      </c>
      <c r="J825" t="s">
        <v>35</v>
      </c>
      <c r="K825" t="s">
        <v>882</v>
      </c>
      <c r="L825" t="s">
        <v>2131</v>
      </c>
      <c r="M825">
        <v>2217</v>
      </c>
    </row>
    <row r="826" spans="6:13" x14ac:dyDescent="0.35">
      <c r="F826" s="483">
        <v>43120</v>
      </c>
      <c r="G826">
        <f t="shared" si="12"/>
        <v>2018</v>
      </c>
      <c r="H826" t="s">
        <v>1739</v>
      </c>
      <c r="I826" t="s">
        <v>881</v>
      </c>
      <c r="J826" t="s">
        <v>38</v>
      </c>
      <c r="K826" t="s">
        <v>907</v>
      </c>
      <c r="L826" t="s">
        <v>2130</v>
      </c>
      <c r="M826">
        <v>1632</v>
      </c>
    </row>
    <row r="827" spans="6:13" x14ac:dyDescent="0.35">
      <c r="F827" s="483">
        <v>43456</v>
      </c>
      <c r="G827">
        <f t="shared" si="12"/>
        <v>2018</v>
      </c>
      <c r="H827" t="s">
        <v>1740</v>
      </c>
      <c r="I827" t="s">
        <v>881</v>
      </c>
      <c r="J827" t="s">
        <v>33</v>
      </c>
      <c r="K827" t="s">
        <v>882</v>
      </c>
      <c r="L827" t="s">
        <v>2129</v>
      </c>
      <c r="M827">
        <v>3906</v>
      </c>
    </row>
    <row r="828" spans="6:13" x14ac:dyDescent="0.35">
      <c r="F828" s="483">
        <v>43414</v>
      </c>
      <c r="G828">
        <f t="shared" si="12"/>
        <v>2018</v>
      </c>
      <c r="H828" t="s">
        <v>1741</v>
      </c>
      <c r="I828" t="s">
        <v>881</v>
      </c>
      <c r="J828" t="s">
        <v>33</v>
      </c>
      <c r="K828" t="s">
        <v>890</v>
      </c>
      <c r="L828" t="s">
        <v>2128</v>
      </c>
      <c r="M828">
        <v>3321</v>
      </c>
    </row>
    <row r="829" spans="6:13" x14ac:dyDescent="0.35">
      <c r="F829" s="483">
        <v>42806</v>
      </c>
      <c r="G829">
        <f t="shared" si="12"/>
        <v>2017</v>
      </c>
      <c r="H829" t="s">
        <v>1742</v>
      </c>
      <c r="I829" t="s">
        <v>1022</v>
      </c>
      <c r="J829" t="s">
        <v>30</v>
      </c>
      <c r="K829" t="s">
        <v>890</v>
      </c>
      <c r="L829" t="s">
        <v>2131</v>
      </c>
      <c r="M829">
        <v>2022</v>
      </c>
    </row>
    <row r="830" spans="6:13" x14ac:dyDescent="0.35">
      <c r="F830" s="483">
        <v>43063</v>
      </c>
      <c r="G830">
        <f t="shared" si="12"/>
        <v>2017</v>
      </c>
      <c r="H830" t="s">
        <v>1743</v>
      </c>
      <c r="I830" t="s">
        <v>1028</v>
      </c>
      <c r="J830" t="s">
        <v>36</v>
      </c>
      <c r="K830" t="s">
        <v>882</v>
      </c>
      <c r="L830" t="s">
        <v>2129</v>
      </c>
      <c r="M830">
        <v>5382</v>
      </c>
    </row>
    <row r="831" spans="6:13" x14ac:dyDescent="0.35">
      <c r="F831" s="483">
        <v>43398</v>
      </c>
      <c r="G831">
        <f t="shared" si="12"/>
        <v>2018</v>
      </c>
      <c r="H831" t="s">
        <v>1744</v>
      </c>
      <c r="I831" t="s">
        <v>881</v>
      </c>
      <c r="J831" t="s">
        <v>31</v>
      </c>
      <c r="K831" t="s">
        <v>882</v>
      </c>
      <c r="L831" t="s">
        <v>2127</v>
      </c>
      <c r="M831">
        <v>6477</v>
      </c>
    </row>
    <row r="832" spans="6:13" x14ac:dyDescent="0.35">
      <c r="F832" s="483">
        <v>42925</v>
      </c>
      <c r="G832">
        <f t="shared" si="12"/>
        <v>2017</v>
      </c>
      <c r="H832" t="s">
        <v>1745</v>
      </c>
      <c r="I832" t="s">
        <v>881</v>
      </c>
      <c r="J832" t="s">
        <v>34</v>
      </c>
      <c r="K832" t="s">
        <v>2123</v>
      </c>
      <c r="L832" t="s">
        <v>2125</v>
      </c>
      <c r="M832">
        <v>2978</v>
      </c>
    </row>
    <row r="833" spans="6:13" x14ac:dyDescent="0.35">
      <c r="F833" s="483">
        <v>43259</v>
      </c>
      <c r="G833">
        <f t="shared" si="12"/>
        <v>2018</v>
      </c>
      <c r="H833" t="s">
        <v>1746</v>
      </c>
      <c r="I833" t="s">
        <v>881</v>
      </c>
      <c r="J833" t="s">
        <v>32</v>
      </c>
      <c r="K833" t="s">
        <v>890</v>
      </c>
      <c r="L833" t="s">
        <v>2125</v>
      </c>
      <c r="M833">
        <v>3176</v>
      </c>
    </row>
    <row r="834" spans="6:13" x14ac:dyDescent="0.35">
      <c r="F834" s="483">
        <v>43102</v>
      </c>
      <c r="G834">
        <f t="shared" si="12"/>
        <v>2018</v>
      </c>
      <c r="H834" t="s">
        <v>1747</v>
      </c>
      <c r="I834" t="s">
        <v>881</v>
      </c>
      <c r="J834" t="s">
        <v>34</v>
      </c>
      <c r="K834" t="s">
        <v>907</v>
      </c>
      <c r="L834" t="s">
        <v>2132</v>
      </c>
      <c r="M834">
        <v>1144</v>
      </c>
    </row>
    <row r="835" spans="6:13" x14ac:dyDescent="0.35">
      <c r="F835" s="483">
        <v>43439</v>
      </c>
      <c r="G835">
        <f t="shared" si="12"/>
        <v>2018</v>
      </c>
      <c r="H835" t="s">
        <v>1748</v>
      </c>
      <c r="I835" t="s">
        <v>881</v>
      </c>
      <c r="J835" t="s">
        <v>26</v>
      </c>
      <c r="K835" t="s">
        <v>882</v>
      </c>
      <c r="L835" t="s">
        <v>2130</v>
      </c>
      <c r="M835">
        <v>5521</v>
      </c>
    </row>
    <row r="836" spans="6:13" x14ac:dyDescent="0.35">
      <c r="F836" s="483">
        <v>42971</v>
      </c>
      <c r="G836">
        <f t="shared" si="12"/>
        <v>2017</v>
      </c>
      <c r="H836" t="s">
        <v>1749</v>
      </c>
      <c r="I836" t="s">
        <v>885</v>
      </c>
      <c r="J836" t="s">
        <v>26</v>
      </c>
      <c r="K836" t="s">
        <v>890</v>
      </c>
      <c r="L836" t="s">
        <v>2128</v>
      </c>
      <c r="M836">
        <v>8166</v>
      </c>
    </row>
    <row r="837" spans="6:13" x14ac:dyDescent="0.35">
      <c r="F837" s="483">
        <v>42797</v>
      </c>
      <c r="G837">
        <f t="shared" si="12"/>
        <v>2017</v>
      </c>
      <c r="H837" t="s">
        <v>1750</v>
      </c>
      <c r="I837" t="s">
        <v>881</v>
      </c>
      <c r="J837" t="s">
        <v>31</v>
      </c>
      <c r="K837" t="s">
        <v>907</v>
      </c>
      <c r="L837" t="s">
        <v>2133</v>
      </c>
      <c r="M837">
        <v>4064</v>
      </c>
    </row>
    <row r="838" spans="6:13" x14ac:dyDescent="0.35">
      <c r="F838" s="483">
        <v>42864</v>
      </c>
      <c r="G838">
        <f t="shared" si="12"/>
        <v>2017</v>
      </c>
      <c r="H838" t="s">
        <v>1751</v>
      </c>
      <c r="I838" t="s">
        <v>881</v>
      </c>
      <c r="J838" t="s">
        <v>24</v>
      </c>
      <c r="K838" t="s">
        <v>907</v>
      </c>
      <c r="L838" t="s">
        <v>2127</v>
      </c>
      <c r="M838">
        <v>6015</v>
      </c>
    </row>
    <row r="839" spans="6:13" x14ac:dyDescent="0.35">
      <c r="F839" s="483">
        <v>42951</v>
      </c>
      <c r="G839">
        <f t="shared" si="12"/>
        <v>2017</v>
      </c>
      <c r="H839" t="s">
        <v>1752</v>
      </c>
      <c r="I839" t="s">
        <v>881</v>
      </c>
      <c r="J839" t="s">
        <v>30</v>
      </c>
      <c r="K839" t="s">
        <v>890</v>
      </c>
      <c r="L839" t="s">
        <v>2131</v>
      </c>
      <c r="M839">
        <v>3239</v>
      </c>
    </row>
    <row r="840" spans="6:13" x14ac:dyDescent="0.35">
      <c r="F840" s="483">
        <v>43236</v>
      </c>
      <c r="G840">
        <f t="shared" si="12"/>
        <v>2018</v>
      </c>
      <c r="H840" t="s">
        <v>1753</v>
      </c>
      <c r="I840" t="s">
        <v>881</v>
      </c>
      <c r="J840" t="s">
        <v>36</v>
      </c>
      <c r="K840" t="s">
        <v>890</v>
      </c>
      <c r="L840" t="s">
        <v>2130</v>
      </c>
      <c r="M840">
        <v>6200</v>
      </c>
    </row>
    <row r="841" spans="6:13" x14ac:dyDescent="0.35">
      <c r="F841" s="483">
        <v>42876</v>
      </c>
      <c r="G841">
        <f t="shared" si="12"/>
        <v>2017</v>
      </c>
      <c r="H841" t="s">
        <v>1754</v>
      </c>
      <c r="I841" t="s">
        <v>881</v>
      </c>
      <c r="J841" t="s">
        <v>36</v>
      </c>
      <c r="K841" t="s">
        <v>907</v>
      </c>
      <c r="L841" t="s">
        <v>2130</v>
      </c>
      <c r="M841">
        <v>3101</v>
      </c>
    </row>
    <row r="842" spans="6:13" x14ac:dyDescent="0.35">
      <c r="F842" s="483">
        <v>43102</v>
      </c>
      <c r="G842">
        <f t="shared" ref="G842:G905" si="13">YEAR(F842)</f>
        <v>2018</v>
      </c>
      <c r="H842" t="s">
        <v>1755</v>
      </c>
      <c r="I842" t="s">
        <v>881</v>
      </c>
      <c r="J842" t="s">
        <v>31</v>
      </c>
      <c r="K842" t="s">
        <v>890</v>
      </c>
      <c r="L842" t="s">
        <v>2129</v>
      </c>
      <c r="M842">
        <v>7917</v>
      </c>
    </row>
    <row r="843" spans="6:13" x14ac:dyDescent="0.35">
      <c r="F843" s="483">
        <v>42863</v>
      </c>
      <c r="G843">
        <f t="shared" si="13"/>
        <v>2017</v>
      </c>
      <c r="H843" t="s">
        <v>1756</v>
      </c>
      <c r="I843" t="s">
        <v>881</v>
      </c>
      <c r="J843" t="s">
        <v>29</v>
      </c>
      <c r="K843" t="s">
        <v>2123</v>
      </c>
      <c r="L843" t="s">
        <v>2133</v>
      </c>
      <c r="M843">
        <v>2307</v>
      </c>
    </row>
    <row r="844" spans="6:13" x14ac:dyDescent="0.35">
      <c r="F844" s="483">
        <v>43209</v>
      </c>
      <c r="G844">
        <f t="shared" si="13"/>
        <v>2018</v>
      </c>
      <c r="H844" t="s">
        <v>1757</v>
      </c>
      <c r="I844" t="s">
        <v>881</v>
      </c>
      <c r="J844" t="s">
        <v>33</v>
      </c>
      <c r="K844" t="s">
        <v>2123</v>
      </c>
      <c r="L844" t="s">
        <v>2130</v>
      </c>
      <c r="M844">
        <v>8900</v>
      </c>
    </row>
    <row r="845" spans="6:13" x14ac:dyDescent="0.35">
      <c r="F845" s="483">
        <v>43068</v>
      </c>
      <c r="G845">
        <f t="shared" si="13"/>
        <v>2017</v>
      </c>
      <c r="H845" t="s">
        <v>1758</v>
      </c>
      <c r="I845" t="s">
        <v>881</v>
      </c>
      <c r="J845" t="s">
        <v>36</v>
      </c>
      <c r="K845" t="s">
        <v>907</v>
      </c>
      <c r="L845" t="s">
        <v>2127</v>
      </c>
      <c r="M845">
        <v>5018</v>
      </c>
    </row>
    <row r="846" spans="6:13" x14ac:dyDescent="0.35">
      <c r="F846" s="483">
        <v>42951</v>
      </c>
      <c r="G846">
        <f t="shared" si="13"/>
        <v>2017</v>
      </c>
      <c r="H846" t="s">
        <v>1759</v>
      </c>
      <c r="I846" t="s">
        <v>881</v>
      </c>
      <c r="J846" t="s">
        <v>29</v>
      </c>
      <c r="K846" t="s">
        <v>890</v>
      </c>
      <c r="L846" t="s">
        <v>2129</v>
      </c>
      <c r="M846">
        <v>3605</v>
      </c>
    </row>
    <row r="847" spans="6:13" x14ac:dyDescent="0.35">
      <c r="F847" s="483">
        <v>43156</v>
      </c>
      <c r="G847">
        <f t="shared" si="13"/>
        <v>2018</v>
      </c>
      <c r="H847" t="s">
        <v>1760</v>
      </c>
      <c r="I847" t="s">
        <v>881</v>
      </c>
      <c r="J847" t="s">
        <v>32</v>
      </c>
      <c r="K847" t="s">
        <v>2123</v>
      </c>
      <c r="L847" t="s">
        <v>2127</v>
      </c>
      <c r="M847">
        <v>7200</v>
      </c>
    </row>
    <row r="848" spans="6:13" x14ac:dyDescent="0.35">
      <c r="F848" s="483">
        <v>42945</v>
      </c>
      <c r="G848">
        <f t="shared" si="13"/>
        <v>2017</v>
      </c>
      <c r="H848" t="s">
        <v>1761</v>
      </c>
      <c r="I848" t="s">
        <v>881</v>
      </c>
      <c r="J848" t="s">
        <v>24</v>
      </c>
      <c r="K848" t="s">
        <v>2123</v>
      </c>
      <c r="L848" t="s">
        <v>2130</v>
      </c>
      <c r="M848">
        <v>8149</v>
      </c>
    </row>
    <row r="849" spans="6:13" x14ac:dyDescent="0.35">
      <c r="F849" s="483">
        <v>43177</v>
      </c>
      <c r="G849">
        <f t="shared" si="13"/>
        <v>2018</v>
      </c>
      <c r="H849" t="s">
        <v>1762</v>
      </c>
      <c r="I849" t="s">
        <v>881</v>
      </c>
      <c r="J849" t="s">
        <v>26</v>
      </c>
      <c r="K849" t="s">
        <v>2123</v>
      </c>
      <c r="L849" t="s">
        <v>2132</v>
      </c>
      <c r="M849">
        <v>6925</v>
      </c>
    </row>
    <row r="850" spans="6:13" x14ac:dyDescent="0.35">
      <c r="F850" s="483">
        <v>43269</v>
      </c>
      <c r="G850">
        <f t="shared" si="13"/>
        <v>2018</v>
      </c>
      <c r="H850" t="s">
        <v>1763</v>
      </c>
      <c r="I850" t="s">
        <v>881</v>
      </c>
      <c r="J850" t="s">
        <v>24</v>
      </c>
      <c r="K850" t="s">
        <v>890</v>
      </c>
      <c r="L850" t="s">
        <v>2131</v>
      </c>
      <c r="M850">
        <v>3997</v>
      </c>
    </row>
    <row r="851" spans="6:13" x14ac:dyDescent="0.35">
      <c r="F851" s="483">
        <v>43326</v>
      </c>
      <c r="G851">
        <f t="shared" si="13"/>
        <v>2018</v>
      </c>
      <c r="H851" t="s">
        <v>1764</v>
      </c>
      <c r="I851" t="s">
        <v>881</v>
      </c>
      <c r="J851" t="s">
        <v>33</v>
      </c>
      <c r="K851" t="s">
        <v>907</v>
      </c>
      <c r="L851" t="s">
        <v>2129</v>
      </c>
      <c r="M851">
        <v>4653</v>
      </c>
    </row>
    <row r="852" spans="6:13" x14ac:dyDescent="0.35">
      <c r="F852" s="483">
        <v>43171</v>
      </c>
      <c r="G852">
        <f t="shared" si="13"/>
        <v>2018</v>
      </c>
      <c r="H852" t="s">
        <v>1765</v>
      </c>
      <c r="I852" t="s">
        <v>987</v>
      </c>
      <c r="J852" t="s">
        <v>26</v>
      </c>
      <c r="K852" t="s">
        <v>882</v>
      </c>
      <c r="L852" t="s">
        <v>2133</v>
      </c>
      <c r="M852">
        <v>1894</v>
      </c>
    </row>
    <row r="853" spans="6:13" x14ac:dyDescent="0.35">
      <c r="F853" s="483">
        <v>42835</v>
      </c>
      <c r="G853">
        <f t="shared" si="13"/>
        <v>2017</v>
      </c>
      <c r="H853" t="s">
        <v>1766</v>
      </c>
      <c r="I853" t="s">
        <v>881</v>
      </c>
      <c r="J853" t="s">
        <v>36</v>
      </c>
      <c r="K853" t="s">
        <v>2123</v>
      </c>
      <c r="L853" t="s">
        <v>2125</v>
      </c>
      <c r="M853">
        <v>2457</v>
      </c>
    </row>
    <row r="854" spans="6:13" x14ac:dyDescent="0.35">
      <c r="F854" s="483">
        <v>42933</v>
      </c>
      <c r="G854">
        <f t="shared" si="13"/>
        <v>2017</v>
      </c>
      <c r="H854" t="s">
        <v>1767</v>
      </c>
      <c r="I854" t="s">
        <v>923</v>
      </c>
      <c r="J854" t="s">
        <v>28</v>
      </c>
      <c r="K854" t="s">
        <v>882</v>
      </c>
      <c r="L854" t="s">
        <v>2126</v>
      </c>
      <c r="M854">
        <v>5007</v>
      </c>
    </row>
    <row r="855" spans="6:13" x14ac:dyDescent="0.35">
      <c r="F855" s="483">
        <v>43048</v>
      </c>
      <c r="G855">
        <f t="shared" si="13"/>
        <v>2017</v>
      </c>
      <c r="H855" t="s">
        <v>1768</v>
      </c>
      <c r="I855" t="s">
        <v>976</v>
      </c>
      <c r="J855" t="s">
        <v>34</v>
      </c>
      <c r="K855" t="s">
        <v>907</v>
      </c>
      <c r="L855" t="s">
        <v>2133</v>
      </c>
      <c r="M855">
        <v>2535</v>
      </c>
    </row>
    <row r="856" spans="6:13" x14ac:dyDescent="0.35">
      <c r="F856" s="483">
        <v>42979</v>
      </c>
      <c r="G856">
        <f t="shared" si="13"/>
        <v>2017</v>
      </c>
      <c r="H856" t="s">
        <v>1769</v>
      </c>
      <c r="I856" t="s">
        <v>881</v>
      </c>
      <c r="J856" t="s">
        <v>26</v>
      </c>
      <c r="K856" t="s">
        <v>907</v>
      </c>
      <c r="L856" t="s">
        <v>2125</v>
      </c>
      <c r="M856">
        <v>6623</v>
      </c>
    </row>
    <row r="857" spans="6:13" x14ac:dyDescent="0.35">
      <c r="F857" s="483">
        <v>42745</v>
      </c>
      <c r="G857">
        <f t="shared" si="13"/>
        <v>2017</v>
      </c>
      <c r="H857" t="s">
        <v>1770</v>
      </c>
      <c r="I857" t="s">
        <v>1131</v>
      </c>
      <c r="J857" t="s">
        <v>34</v>
      </c>
      <c r="K857" t="s">
        <v>907</v>
      </c>
      <c r="L857" t="s">
        <v>2124</v>
      </c>
      <c r="M857">
        <v>6479</v>
      </c>
    </row>
    <row r="858" spans="6:13" x14ac:dyDescent="0.35">
      <c r="F858" s="483">
        <v>43219</v>
      </c>
      <c r="G858">
        <f t="shared" si="13"/>
        <v>2018</v>
      </c>
      <c r="H858" t="s">
        <v>1771</v>
      </c>
      <c r="I858" t="s">
        <v>881</v>
      </c>
      <c r="J858" t="s">
        <v>31</v>
      </c>
      <c r="K858" t="s">
        <v>890</v>
      </c>
      <c r="L858" t="s">
        <v>2126</v>
      </c>
      <c r="M858">
        <v>5747</v>
      </c>
    </row>
    <row r="859" spans="6:13" x14ac:dyDescent="0.35">
      <c r="F859" s="483">
        <v>43112</v>
      </c>
      <c r="G859">
        <f t="shared" si="13"/>
        <v>2018</v>
      </c>
      <c r="H859" t="s">
        <v>1772</v>
      </c>
      <c r="I859" t="s">
        <v>881</v>
      </c>
      <c r="J859" t="s">
        <v>36</v>
      </c>
      <c r="K859" t="s">
        <v>2123</v>
      </c>
      <c r="L859" t="s">
        <v>2133</v>
      </c>
      <c r="M859">
        <v>2186</v>
      </c>
    </row>
    <row r="860" spans="6:13" x14ac:dyDescent="0.35">
      <c r="F860" s="483">
        <v>42895</v>
      </c>
      <c r="G860">
        <f t="shared" si="13"/>
        <v>2017</v>
      </c>
      <c r="H860" t="s">
        <v>1773</v>
      </c>
      <c r="I860" t="s">
        <v>881</v>
      </c>
      <c r="J860" t="s">
        <v>34</v>
      </c>
      <c r="K860" t="s">
        <v>890</v>
      </c>
      <c r="L860" t="s">
        <v>2125</v>
      </c>
      <c r="M860">
        <v>4083</v>
      </c>
    </row>
    <row r="861" spans="6:13" x14ac:dyDescent="0.35">
      <c r="F861" s="483">
        <v>43417</v>
      </c>
      <c r="G861">
        <f t="shared" si="13"/>
        <v>2018</v>
      </c>
      <c r="H861" t="s">
        <v>1774</v>
      </c>
      <c r="I861" t="s">
        <v>885</v>
      </c>
      <c r="J861" t="s">
        <v>24</v>
      </c>
      <c r="K861" t="s">
        <v>2123</v>
      </c>
      <c r="L861" t="s">
        <v>2126</v>
      </c>
      <c r="M861">
        <v>1664</v>
      </c>
    </row>
    <row r="862" spans="6:13" x14ac:dyDescent="0.35">
      <c r="F862" s="483">
        <v>43060</v>
      </c>
      <c r="G862">
        <f t="shared" si="13"/>
        <v>2017</v>
      </c>
      <c r="H862" t="s">
        <v>1775</v>
      </c>
      <c r="I862" t="s">
        <v>881</v>
      </c>
      <c r="J862" t="s">
        <v>36</v>
      </c>
      <c r="K862" t="s">
        <v>907</v>
      </c>
      <c r="L862" t="s">
        <v>2128</v>
      </c>
      <c r="M862">
        <v>4699</v>
      </c>
    </row>
    <row r="863" spans="6:13" x14ac:dyDescent="0.35">
      <c r="F863" s="483">
        <v>43372</v>
      </c>
      <c r="G863">
        <f t="shared" si="13"/>
        <v>2018</v>
      </c>
      <c r="H863" t="s">
        <v>1776</v>
      </c>
      <c r="I863" t="s">
        <v>881</v>
      </c>
      <c r="J863" t="s">
        <v>34</v>
      </c>
      <c r="K863" t="s">
        <v>890</v>
      </c>
      <c r="L863" t="s">
        <v>2125</v>
      </c>
      <c r="M863">
        <v>6196</v>
      </c>
    </row>
    <row r="864" spans="6:13" x14ac:dyDescent="0.35">
      <c r="F864" s="483">
        <v>43163</v>
      </c>
      <c r="G864">
        <f t="shared" si="13"/>
        <v>2018</v>
      </c>
      <c r="H864" t="s">
        <v>1777</v>
      </c>
      <c r="I864" t="s">
        <v>885</v>
      </c>
      <c r="J864" t="s">
        <v>36</v>
      </c>
      <c r="K864" t="s">
        <v>907</v>
      </c>
      <c r="L864" t="s">
        <v>2133</v>
      </c>
      <c r="M864">
        <v>6637</v>
      </c>
    </row>
    <row r="865" spans="6:13" x14ac:dyDescent="0.35">
      <c r="F865" s="483">
        <v>43276</v>
      </c>
      <c r="G865">
        <f t="shared" si="13"/>
        <v>2018</v>
      </c>
      <c r="H865" t="s">
        <v>1778</v>
      </c>
      <c r="I865" t="s">
        <v>881</v>
      </c>
      <c r="J865" t="s">
        <v>34</v>
      </c>
      <c r="K865" t="s">
        <v>2123</v>
      </c>
      <c r="L865" t="s">
        <v>2129</v>
      </c>
      <c r="M865">
        <v>6875</v>
      </c>
    </row>
    <row r="866" spans="6:13" x14ac:dyDescent="0.35">
      <c r="F866" s="483">
        <v>43321</v>
      </c>
      <c r="G866">
        <f t="shared" si="13"/>
        <v>2018</v>
      </c>
      <c r="H866" t="s">
        <v>1779</v>
      </c>
      <c r="I866" t="s">
        <v>881</v>
      </c>
      <c r="J866" t="s">
        <v>35</v>
      </c>
      <c r="K866" t="s">
        <v>907</v>
      </c>
      <c r="L866" t="s">
        <v>2131</v>
      </c>
      <c r="M866">
        <v>1285</v>
      </c>
    </row>
    <row r="867" spans="6:13" x14ac:dyDescent="0.35">
      <c r="F867" s="483">
        <v>43322</v>
      </c>
      <c r="G867">
        <f t="shared" si="13"/>
        <v>2018</v>
      </c>
      <c r="H867" t="s">
        <v>1780</v>
      </c>
      <c r="I867" t="s">
        <v>881</v>
      </c>
      <c r="J867" t="s">
        <v>37</v>
      </c>
      <c r="K867" t="s">
        <v>890</v>
      </c>
      <c r="L867" t="s">
        <v>2126</v>
      </c>
      <c r="M867">
        <v>8316</v>
      </c>
    </row>
    <row r="868" spans="6:13" x14ac:dyDescent="0.35">
      <c r="F868" s="483">
        <v>43310</v>
      </c>
      <c r="G868">
        <f t="shared" si="13"/>
        <v>2018</v>
      </c>
      <c r="H868" t="s">
        <v>1781</v>
      </c>
      <c r="I868" t="s">
        <v>885</v>
      </c>
      <c r="J868" t="s">
        <v>37</v>
      </c>
      <c r="K868" t="s">
        <v>2123</v>
      </c>
      <c r="L868" t="s">
        <v>2125</v>
      </c>
      <c r="M868">
        <v>1720</v>
      </c>
    </row>
    <row r="869" spans="6:13" x14ac:dyDescent="0.35">
      <c r="F869" s="483">
        <v>42966</v>
      </c>
      <c r="G869">
        <f t="shared" si="13"/>
        <v>2017</v>
      </c>
      <c r="H869" t="s">
        <v>1782</v>
      </c>
      <c r="I869" t="s">
        <v>885</v>
      </c>
      <c r="J869" t="s">
        <v>30</v>
      </c>
      <c r="K869" t="s">
        <v>882</v>
      </c>
      <c r="L869" t="s">
        <v>2131</v>
      </c>
      <c r="M869">
        <v>4780</v>
      </c>
    </row>
    <row r="870" spans="6:13" x14ac:dyDescent="0.35">
      <c r="F870" s="483">
        <v>43352</v>
      </c>
      <c r="G870">
        <f t="shared" si="13"/>
        <v>2018</v>
      </c>
      <c r="H870" t="s">
        <v>1783</v>
      </c>
      <c r="I870" t="s">
        <v>881</v>
      </c>
      <c r="J870" t="s">
        <v>38</v>
      </c>
      <c r="K870" t="s">
        <v>882</v>
      </c>
      <c r="L870" t="s">
        <v>2131</v>
      </c>
      <c r="M870">
        <v>1268</v>
      </c>
    </row>
    <row r="871" spans="6:13" x14ac:dyDescent="0.35">
      <c r="F871" s="483">
        <v>43312</v>
      </c>
      <c r="G871">
        <f t="shared" si="13"/>
        <v>2018</v>
      </c>
      <c r="H871" t="s">
        <v>1784</v>
      </c>
      <c r="I871" t="s">
        <v>885</v>
      </c>
      <c r="J871" t="s">
        <v>23</v>
      </c>
      <c r="K871" t="s">
        <v>882</v>
      </c>
      <c r="L871" t="s">
        <v>2128</v>
      </c>
      <c r="M871">
        <v>8404</v>
      </c>
    </row>
    <row r="872" spans="6:13" x14ac:dyDescent="0.35">
      <c r="F872" s="483">
        <v>43244</v>
      </c>
      <c r="G872">
        <f t="shared" si="13"/>
        <v>2018</v>
      </c>
      <c r="H872" t="s">
        <v>1785</v>
      </c>
      <c r="I872" t="s">
        <v>881</v>
      </c>
      <c r="J872" t="s">
        <v>30</v>
      </c>
      <c r="K872" t="s">
        <v>907</v>
      </c>
      <c r="L872" t="s">
        <v>2132</v>
      </c>
      <c r="M872">
        <v>7200</v>
      </c>
    </row>
    <row r="873" spans="6:13" x14ac:dyDescent="0.35">
      <c r="F873" s="483">
        <v>43170</v>
      </c>
      <c r="G873">
        <f t="shared" si="13"/>
        <v>2018</v>
      </c>
      <c r="H873" t="s">
        <v>1786</v>
      </c>
      <c r="I873" t="s">
        <v>881</v>
      </c>
      <c r="J873" t="s">
        <v>30</v>
      </c>
      <c r="K873" t="s">
        <v>882</v>
      </c>
      <c r="L873" t="s">
        <v>2132</v>
      </c>
      <c r="M873">
        <v>8004</v>
      </c>
    </row>
    <row r="874" spans="6:13" x14ac:dyDescent="0.35">
      <c r="F874" s="483">
        <v>43166</v>
      </c>
      <c r="G874">
        <f t="shared" si="13"/>
        <v>2018</v>
      </c>
      <c r="H874" t="s">
        <v>1787</v>
      </c>
      <c r="I874" t="s">
        <v>881</v>
      </c>
      <c r="J874" t="s">
        <v>29</v>
      </c>
      <c r="K874" t="s">
        <v>907</v>
      </c>
      <c r="L874" t="s">
        <v>2128</v>
      </c>
      <c r="M874">
        <v>7536</v>
      </c>
    </row>
    <row r="875" spans="6:13" x14ac:dyDescent="0.35">
      <c r="F875" s="483">
        <v>43171</v>
      </c>
      <c r="G875">
        <f t="shared" si="13"/>
        <v>2018</v>
      </c>
      <c r="H875" t="s">
        <v>1788</v>
      </c>
      <c r="I875" t="s">
        <v>881</v>
      </c>
      <c r="J875" t="s">
        <v>30</v>
      </c>
      <c r="K875" t="s">
        <v>890</v>
      </c>
      <c r="L875" t="s">
        <v>2124</v>
      </c>
      <c r="M875">
        <v>6131</v>
      </c>
    </row>
    <row r="876" spans="6:13" x14ac:dyDescent="0.35">
      <c r="F876" s="483">
        <v>42748</v>
      </c>
      <c r="G876">
        <f t="shared" si="13"/>
        <v>2017</v>
      </c>
      <c r="H876" t="s">
        <v>1789</v>
      </c>
      <c r="I876" t="s">
        <v>885</v>
      </c>
      <c r="J876" t="s">
        <v>23</v>
      </c>
      <c r="K876" t="s">
        <v>907</v>
      </c>
      <c r="L876" t="s">
        <v>2126</v>
      </c>
      <c r="M876">
        <v>5017</v>
      </c>
    </row>
    <row r="877" spans="6:13" x14ac:dyDescent="0.35">
      <c r="F877" s="483">
        <v>43328</v>
      </c>
      <c r="G877">
        <f t="shared" si="13"/>
        <v>2018</v>
      </c>
      <c r="H877" t="s">
        <v>1790</v>
      </c>
      <c r="I877" t="s">
        <v>881</v>
      </c>
      <c r="J877" t="s">
        <v>35</v>
      </c>
      <c r="K877" t="s">
        <v>890</v>
      </c>
      <c r="L877" t="s">
        <v>2129</v>
      </c>
      <c r="M877">
        <v>6886</v>
      </c>
    </row>
    <row r="878" spans="6:13" x14ac:dyDescent="0.35">
      <c r="F878" s="483">
        <v>43065</v>
      </c>
      <c r="G878">
        <f t="shared" si="13"/>
        <v>2017</v>
      </c>
      <c r="H878" t="s">
        <v>1791</v>
      </c>
      <c r="I878" t="s">
        <v>893</v>
      </c>
      <c r="J878" t="s">
        <v>26</v>
      </c>
      <c r="K878" t="s">
        <v>890</v>
      </c>
      <c r="L878" t="s">
        <v>2129</v>
      </c>
      <c r="M878">
        <v>5950</v>
      </c>
    </row>
    <row r="879" spans="6:13" x14ac:dyDescent="0.35">
      <c r="F879" s="483">
        <v>42743</v>
      </c>
      <c r="G879">
        <f t="shared" si="13"/>
        <v>2017</v>
      </c>
      <c r="H879" t="s">
        <v>1792</v>
      </c>
      <c r="I879" t="s">
        <v>912</v>
      </c>
      <c r="J879" t="s">
        <v>33</v>
      </c>
      <c r="K879" t="s">
        <v>2123</v>
      </c>
      <c r="L879" t="s">
        <v>2129</v>
      </c>
      <c r="M879">
        <v>6924</v>
      </c>
    </row>
    <row r="880" spans="6:13" x14ac:dyDescent="0.35">
      <c r="F880" s="483">
        <v>43100</v>
      </c>
      <c r="G880">
        <f t="shared" si="13"/>
        <v>2017</v>
      </c>
      <c r="H880" t="s">
        <v>1793</v>
      </c>
      <c r="I880" t="s">
        <v>881</v>
      </c>
      <c r="J880" t="s">
        <v>31</v>
      </c>
      <c r="K880" t="s">
        <v>890</v>
      </c>
      <c r="L880" t="s">
        <v>2133</v>
      </c>
      <c r="M880">
        <v>3654</v>
      </c>
    </row>
    <row r="881" spans="6:13" x14ac:dyDescent="0.35">
      <c r="F881" s="483">
        <v>43399</v>
      </c>
      <c r="G881">
        <f t="shared" si="13"/>
        <v>2018</v>
      </c>
      <c r="H881" t="s">
        <v>1794</v>
      </c>
      <c r="I881" t="s">
        <v>881</v>
      </c>
      <c r="J881" t="s">
        <v>29</v>
      </c>
      <c r="K881" t="s">
        <v>907</v>
      </c>
      <c r="L881" t="s">
        <v>2127</v>
      </c>
      <c r="M881">
        <v>6647</v>
      </c>
    </row>
    <row r="882" spans="6:13" x14ac:dyDescent="0.35">
      <c r="F882" s="483">
        <v>43372</v>
      </c>
      <c r="G882">
        <f t="shared" si="13"/>
        <v>2018</v>
      </c>
      <c r="H882" t="s">
        <v>1795</v>
      </c>
      <c r="I882" t="s">
        <v>982</v>
      </c>
      <c r="J882" t="s">
        <v>35</v>
      </c>
      <c r="K882" t="s">
        <v>882</v>
      </c>
      <c r="L882" t="s">
        <v>2129</v>
      </c>
      <c r="M882">
        <v>3084</v>
      </c>
    </row>
    <row r="883" spans="6:13" x14ac:dyDescent="0.35">
      <c r="F883" s="483">
        <v>43386</v>
      </c>
      <c r="G883">
        <f t="shared" si="13"/>
        <v>2018</v>
      </c>
      <c r="H883" t="s">
        <v>1796</v>
      </c>
      <c r="I883" t="s">
        <v>881</v>
      </c>
      <c r="J883" t="s">
        <v>24</v>
      </c>
      <c r="K883" t="s">
        <v>2123</v>
      </c>
      <c r="L883" t="s">
        <v>2129</v>
      </c>
      <c r="M883">
        <v>8430</v>
      </c>
    </row>
    <row r="884" spans="6:13" x14ac:dyDescent="0.35">
      <c r="F884" s="483">
        <v>43127</v>
      </c>
      <c r="G884">
        <f t="shared" si="13"/>
        <v>2018</v>
      </c>
      <c r="H884" t="s">
        <v>1797</v>
      </c>
      <c r="I884" t="s">
        <v>881</v>
      </c>
      <c r="J884" t="s">
        <v>33</v>
      </c>
      <c r="K884" t="s">
        <v>2123</v>
      </c>
      <c r="L884" t="s">
        <v>2126</v>
      </c>
      <c r="M884">
        <v>5628</v>
      </c>
    </row>
    <row r="885" spans="6:13" x14ac:dyDescent="0.35">
      <c r="F885" s="483">
        <v>43337</v>
      </c>
      <c r="G885">
        <f t="shared" si="13"/>
        <v>2018</v>
      </c>
      <c r="H885" t="s">
        <v>1798</v>
      </c>
      <c r="I885" t="s">
        <v>881</v>
      </c>
      <c r="J885" t="s">
        <v>36</v>
      </c>
      <c r="K885" t="s">
        <v>2123</v>
      </c>
      <c r="L885" t="s">
        <v>2124</v>
      </c>
      <c r="M885">
        <v>2860</v>
      </c>
    </row>
    <row r="886" spans="6:13" x14ac:dyDescent="0.35">
      <c r="F886" s="483">
        <v>42834</v>
      </c>
      <c r="G886">
        <f t="shared" si="13"/>
        <v>2017</v>
      </c>
      <c r="H886" t="s">
        <v>1799</v>
      </c>
      <c r="I886" t="s">
        <v>881</v>
      </c>
      <c r="J886" t="s">
        <v>29</v>
      </c>
      <c r="K886" t="s">
        <v>2123</v>
      </c>
      <c r="L886" t="s">
        <v>2127</v>
      </c>
      <c r="M886">
        <v>1459</v>
      </c>
    </row>
    <row r="887" spans="6:13" x14ac:dyDescent="0.35">
      <c r="F887" s="483">
        <v>42922</v>
      </c>
      <c r="G887">
        <f t="shared" si="13"/>
        <v>2017</v>
      </c>
      <c r="H887" t="s">
        <v>1800</v>
      </c>
      <c r="I887" t="s">
        <v>881</v>
      </c>
      <c r="J887" t="s">
        <v>37</v>
      </c>
      <c r="K887" t="s">
        <v>907</v>
      </c>
      <c r="L887" t="s">
        <v>2130</v>
      </c>
      <c r="M887">
        <v>4083</v>
      </c>
    </row>
    <row r="888" spans="6:13" x14ac:dyDescent="0.35">
      <c r="F888" s="483">
        <v>42864</v>
      </c>
      <c r="G888">
        <f t="shared" si="13"/>
        <v>2017</v>
      </c>
      <c r="H888" t="s">
        <v>1801</v>
      </c>
      <c r="I888" t="s">
        <v>881</v>
      </c>
      <c r="J888" t="s">
        <v>32</v>
      </c>
      <c r="K888" t="s">
        <v>890</v>
      </c>
      <c r="L888" t="s">
        <v>2132</v>
      </c>
      <c r="M888">
        <v>1110</v>
      </c>
    </row>
    <row r="889" spans="6:13" x14ac:dyDescent="0.35">
      <c r="F889" s="483">
        <v>43023</v>
      </c>
      <c r="G889">
        <f t="shared" si="13"/>
        <v>2017</v>
      </c>
      <c r="H889" t="s">
        <v>1802</v>
      </c>
      <c r="I889" t="s">
        <v>881</v>
      </c>
      <c r="J889" t="s">
        <v>33</v>
      </c>
      <c r="K889" t="s">
        <v>2123</v>
      </c>
      <c r="L889" t="s">
        <v>2127</v>
      </c>
      <c r="M889">
        <v>1164</v>
      </c>
    </row>
    <row r="890" spans="6:13" x14ac:dyDescent="0.35">
      <c r="F890" s="483">
        <v>42971</v>
      </c>
      <c r="G890">
        <f t="shared" si="13"/>
        <v>2017</v>
      </c>
      <c r="H890" t="s">
        <v>1803</v>
      </c>
      <c r="I890" t="s">
        <v>881</v>
      </c>
      <c r="J890" t="s">
        <v>31</v>
      </c>
      <c r="K890" t="s">
        <v>890</v>
      </c>
      <c r="L890" t="s">
        <v>2129</v>
      </c>
      <c r="M890">
        <v>2793</v>
      </c>
    </row>
    <row r="891" spans="6:13" x14ac:dyDescent="0.35">
      <c r="F891" s="483">
        <v>43223</v>
      </c>
      <c r="G891">
        <f t="shared" si="13"/>
        <v>2018</v>
      </c>
      <c r="H891" t="s">
        <v>1804</v>
      </c>
      <c r="I891" t="s">
        <v>881</v>
      </c>
      <c r="J891" t="s">
        <v>32</v>
      </c>
      <c r="K891" t="s">
        <v>2123</v>
      </c>
      <c r="L891" t="s">
        <v>2129</v>
      </c>
      <c r="M891">
        <v>1616</v>
      </c>
    </row>
    <row r="892" spans="6:13" x14ac:dyDescent="0.35">
      <c r="F892" s="483">
        <v>43447</v>
      </c>
      <c r="G892">
        <f t="shared" si="13"/>
        <v>2018</v>
      </c>
      <c r="H892" t="s">
        <v>1805</v>
      </c>
      <c r="I892" t="s">
        <v>881</v>
      </c>
      <c r="J892" t="s">
        <v>32</v>
      </c>
      <c r="K892" t="s">
        <v>2123</v>
      </c>
      <c r="L892" t="s">
        <v>2132</v>
      </c>
      <c r="M892">
        <v>8189</v>
      </c>
    </row>
    <row r="893" spans="6:13" x14ac:dyDescent="0.35">
      <c r="F893" s="483">
        <v>42741</v>
      </c>
      <c r="G893">
        <f t="shared" si="13"/>
        <v>2017</v>
      </c>
      <c r="H893" t="s">
        <v>1806</v>
      </c>
      <c r="I893" t="s">
        <v>1028</v>
      </c>
      <c r="J893" t="s">
        <v>31</v>
      </c>
      <c r="K893" t="s">
        <v>907</v>
      </c>
      <c r="L893" t="s">
        <v>2124</v>
      </c>
      <c r="M893">
        <v>8256</v>
      </c>
    </row>
    <row r="894" spans="6:13" x14ac:dyDescent="0.35">
      <c r="F894" s="483">
        <v>43195</v>
      </c>
      <c r="G894">
        <f t="shared" si="13"/>
        <v>2018</v>
      </c>
      <c r="H894" t="s">
        <v>1807</v>
      </c>
      <c r="I894" t="s">
        <v>885</v>
      </c>
      <c r="J894" t="s">
        <v>32</v>
      </c>
      <c r="K894" t="s">
        <v>882</v>
      </c>
      <c r="L894" t="s">
        <v>2124</v>
      </c>
      <c r="M894">
        <v>6312</v>
      </c>
    </row>
    <row r="895" spans="6:13" x14ac:dyDescent="0.35">
      <c r="F895" s="483">
        <v>42980</v>
      </c>
      <c r="G895">
        <f t="shared" si="13"/>
        <v>2017</v>
      </c>
      <c r="H895" t="s">
        <v>1808</v>
      </c>
      <c r="I895" t="s">
        <v>906</v>
      </c>
      <c r="J895" t="s">
        <v>32</v>
      </c>
      <c r="K895" t="s">
        <v>890</v>
      </c>
      <c r="L895" t="s">
        <v>2129</v>
      </c>
      <c r="M895">
        <v>4430</v>
      </c>
    </row>
    <row r="896" spans="6:13" x14ac:dyDescent="0.35">
      <c r="F896" s="483">
        <v>43193</v>
      </c>
      <c r="G896">
        <f t="shared" si="13"/>
        <v>2018</v>
      </c>
      <c r="H896" t="s">
        <v>1809</v>
      </c>
      <c r="I896" t="s">
        <v>881</v>
      </c>
      <c r="J896" t="s">
        <v>23</v>
      </c>
      <c r="K896" t="s">
        <v>890</v>
      </c>
      <c r="L896" t="s">
        <v>2126</v>
      </c>
      <c r="M896">
        <v>4556</v>
      </c>
    </row>
    <row r="897" spans="6:13" x14ac:dyDescent="0.35">
      <c r="F897" s="483">
        <v>43378</v>
      </c>
      <c r="G897">
        <f t="shared" si="13"/>
        <v>2018</v>
      </c>
      <c r="H897" t="s">
        <v>1810</v>
      </c>
      <c r="I897" t="s">
        <v>881</v>
      </c>
      <c r="J897" t="s">
        <v>26</v>
      </c>
      <c r="K897" t="s">
        <v>882</v>
      </c>
      <c r="L897" t="s">
        <v>2128</v>
      </c>
      <c r="M897">
        <v>2881</v>
      </c>
    </row>
    <row r="898" spans="6:13" x14ac:dyDescent="0.35">
      <c r="F898" s="483">
        <v>43059</v>
      </c>
      <c r="G898">
        <f t="shared" si="13"/>
        <v>2017</v>
      </c>
      <c r="H898" t="s">
        <v>1811</v>
      </c>
      <c r="I898" t="s">
        <v>982</v>
      </c>
      <c r="J898" t="s">
        <v>38</v>
      </c>
      <c r="K898" t="s">
        <v>907</v>
      </c>
      <c r="L898" t="s">
        <v>2130</v>
      </c>
      <c r="M898">
        <v>5235</v>
      </c>
    </row>
    <row r="899" spans="6:13" x14ac:dyDescent="0.35">
      <c r="F899" s="483">
        <v>43166</v>
      </c>
      <c r="G899">
        <f t="shared" si="13"/>
        <v>2018</v>
      </c>
      <c r="H899" t="s">
        <v>1812</v>
      </c>
      <c r="I899" t="s">
        <v>881</v>
      </c>
      <c r="J899" t="s">
        <v>33</v>
      </c>
      <c r="K899" t="s">
        <v>882</v>
      </c>
      <c r="L899" t="s">
        <v>2124</v>
      </c>
      <c r="M899">
        <v>6533</v>
      </c>
    </row>
    <row r="900" spans="6:13" x14ac:dyDescent="0.35">
      <c r="F900" s="483">
        <v>43049</v>
      </c>
      <c r="G900">
        <f t="shared" si="13"/>
        <v>2017</v>
      </c>
      <c r="H900" t="s">
        <v>1813</v>
      </c>
      <c r="I900" t="s">
        <v>881</v>
      </c>
      <c r="J900" t="s">
        <v>32</v>
      </c>
      <c r="K900" t="s">
        <v>890</v>
      </c>
      <c r="L900" t="s">
        <v>2127</v>
      </c>
      <c r="M900">
        <v>2460</v>
      </c>
    </row>
    <row r="901" spans="6:13" x14ac:dyDescent="0.35">
      <c r="F901" s="483">
        <v>43411</v>
      </c>
      <c r="G901">
        <f t="shared" si="13"/>
        <v>2018</v>
      </c>
      <c r="H901" t="s">
        <v>1814</v>
      </c>
      <c r="I901" t="s">
        <v>881</v>
      </c>
      <c r="J901" t="s">
        <v>28</v>
      </c>
      <c r="K901" t="s">
        <v>2123</v>
      </c>
      <c r="L901" t="s">
        <v>2125</v>
      </c>
      <c r="M901">
        <v>7675</v>
      </c>
    </row>
    <row r="902" spans="6:13" x14ac:dyDescent="0.35">
      <c r="F902" s="483">
        <v>42767</v>
      </c>
      <c r="G902">
        <f t="shared" si="13"/>
        <v>2017</v>
      </c>
      <c r="H902" t="s">
        <v>1815</v>
      </c>
      <c r="I902" t="s">
        <v>987</v>
      </c>
      <c r="J902" t="s">
        <v>38</v>
      </c>
      <c r="K902" t="s">
        <v>2123</v>
      </c>
      <c r="L902" t="s">
        <v>2126</v>
      </c>
      <c r="M902">
        <v>4623</v>
      </c>
    </row>
    <row r="903" spans="6:13" x14ac:dyDescent="0.35">
      <c r="F903" s="483">
        <v>43265</v>
      </c>
      <c r="G903">
        <f t="shared" si="13"/>
        <v>2018</v>
      </c>
      <c r="H903" t="s">
        <v>1816</v>
      </c>
      <c r="I903" t="s">
        <v>881</v>
      </c>
      <c r="J903" t="s">
        <v>34</v>
      </c>
      <c r="K903" t="s">
        <v>882</v>
      </c>
      <c r="L903" t="s">
        <v>2131</v>
      </c>
      <c r="M903">
        <v>3043</v>
      </c>
    </row>
    <row r="904" spans="6:13" x14ac:dyDescent="0.35">
      <c r="F904" s="483">
        <v>43219</v>
      </c>
      <c r="G904">
        <f t="shared" si="13"/>
        <v>2018</v>
      </c>
      <c r="H904" t="s">
        <v>1817</v>
      </c>
      <c r="I904" t="s">
        <v>885</v>
      </c>
      <c r="J904" t="s">
        <v>38</v>
      </c>
      <c r="K904" t="s">
        <v>882</v>
      </c>
      <c r="L904" t="s">
        <v>2130</v>
      </c>
      <c r="M904">
        <v>1662</v>
      </c>
    </row>
    <row r="905" spans="6:13" x14ac:dyDescent="0.35">
      <c r="F905" s="483">
        <v>43142</v>
      </c>
      <c r="G905">
        <f t="shared" si="13"/>
        <v>2018</v>
      </c>
      <c r="H905" t="s">
        <v>1818</v>
      </c>
      <c r="I905" t="s">
        <v>881</v>
      </c>
      <c r="J905" t="s">
        <v>34</v>
      </c>
      <c r="K905" t="s">
        <v>907</v>
      </c>
      <c r="L905" t="s">
        <v>2128</v>
      </c>
      <c r="M905">
        <v>3252</v>
      </c>
    </row>
    <row r="906" spans="6:13" x14ac:dyDescent="0.35">
      <c r="F906" s="483">
        <v>42957</v>
      </c>
      <c r="G906">
        <f t="shared" ref="G906:G969" si="14">YEAR(F906)</f>
        <v>2017</v>
      </c>
      <c r="H906" t="s">
        <v>1819</v>
      </c>
      <c r="I906" t="s">
        <v>881</v>
      </c>
      <c r="J906" t="s">
        <v>28</v>
      </c>
      <c r="K906" t="s">
        <v>882</v>
      </c>
      <c r="L906" t="s">
        <v>2128</v>
      </c>
      <c r="M906">
        <v>7931</v>
      </c>
    </row>
    <row r="907" spans="6:13" x14ac:dyDescent="0.35">
      <c r="F907" s="483">
        <v>43437</v>
      </c>
      <c r="G907">
        <f t="shared" si="14"/>
        <v>2018</v>
      </c>
      <c r="H907" t="s">
        <v>1820</v>
      </c>
      <c r="I907" t="s">
        <v>881</v>
      </c>
      <c r="J907" t="s">
        <v>23</v>
      </c>
      <c r="K907" t="s">
        <v>890</v>
      </c>
      <c r="L907" t="s">
        <v>2130</v>
      </c>
      <c r="M907">
        <v>6955</v>
      </c>
    </row>
    <row r="908" spans="6:13" x14ac:dyDescent="0.35">
      <c r="F908" s="483">
        <v>43238</v>
      </c>
      <c r="G908">
        <f t="shared" si="14"/>
        <v>2018</v>
      </c>
      <c r="H908" t="s">
        <v>1821</v>
      </c>
      <c r="I908" t="s">
        <v>881</v>
      </c>
      <c r="J908" t="s">
        <v>26</v>
      </c>
      <c r="K908" t="s">
        <v>2123</v>
      </c>
      <c r="L908" t="s">
        <v>2130</v>
      </c>
      <c r="M908">
        <v>7943</v>
      </c>
    </row>
    <row r="909" spans="6:13" x14ac:dyDescent="0.35">
      <c r="F909" s="483">
        <v>42985</v>
      </c>
      <c r="G909">
        <f t="shared" si="14"/>
        <v>2017</v>
      </c>
      <c r="H909" t="s">
        <v>1822</v>
      </c>
      <c r="I909" t="s">
        <v>881</v>
      </c>
      <c r="J909" t="s">
        <v>32</v>
      </c>
      <c r="K909" t="s">
        <v>890</v>
      </c>
      <c r="L909" t="s">
        <v>2124</v>
      </c>
      <c r="M909">
        <v>5191</v>
      </c>
    </row>
    <row r="910" spans="6:13" x14ac:dyDescent="0.35">
      <c r="F910" s="483">
        <v>43393</v>
      </c>
      <c r="G910">
        <f t="shared" si="14"/>
        <v>2018</v>
      </c>
      <c r="H910" t="s">
        <v>1823</v>
      </c>
      <c r="I910" t="s">
        <v>881</v>
      </c>
      <c r="J910" t="s">
        <v>37</v>
      </c>
      <c r="K910" t="s">
        <v>907</v>
      </c>
      <c r="L910" t="s">
        <v>2133</v>
      </c>
      <c r="M910">
        <v>2493</v>
      </c>
    </row>
    <row r="911" spans="6:13" x14ac:dyDescent="0.35">
      <c r="F911" s="483">
        <v>42948</v>
      </c>
      <c r="G911">
        <f t="shared" si="14"/>
        <v>2017</v>
      </c>
      <c r="H911" t="s">
        <v>1824</v>
      </c>
      <c r="I911" t="s">
        <v>881</v>
      </c>
      <c r="J911" t="s">
        <v>29</v>
      </c>
      <c r="K911" t="s">
        <v>890</v>
      </c>
      <c r="L911" t="s">
        <v>2126</v>
      </c>
      <c r="M911">
        <v>7820</v>
      </c>
    </row>
    <row r="912" spans="6:13" x14ac:dyDescent="0.35">
      <c r="F912" s="483">
        <v>43173</v>
      </c>
      <c r="G912">
        <f t="shared" si="14"/>
        <v>2018</v>
      </c>
      <c r="H912" t="s">
        <v>1825</v>
      </c>
      <c r="I912" t="s">
        <v>881</v>
      </c>
      <c r="J912" t="s">
        <v>31</v>
      </c>
      <c r="K912" t="s">
        <v>882</v>
      </c>
      <c r="L912" t="s">
        <v>2125</v>
      </c>
      <c r="M912">
        <v>8555</v>
      </c>
    </row>
    <row r="913" spans="6:13" x14ac:dyDescent="0.35">
      <c r="F913" s="483">
        <v>43367</v>
      </c>
      <c r="G913">
        <f t="shared" si="14"/>
        <v>2018</v>
      </c>
      <c r="H913" t="s">
        <v>1826</v>
      </c>
      <c r="I913" t="s">
        <v>881</v>
      </c>
      <c r="J913" t="s">
        <v>29</v>
      </c>
      <c r="K913" t="s">
        <v>2123</v>
      </c>
      <c r="L913" t="s">
        <v>2127</v>
      </c>
      <c r="M913">
        <v>2815</v>
      </c>
    </row>
    <row r="914" spans="6:13" x14ac:dyDescent="0.35">
      <c r="F914" s="483">
        <v>43122</v>
      </c>
      <c r="G914">
        <f t="shared" si="14"/>
        <v>2018</v>
      </c>
      <c r="H914" t="s">
        <v>1827</v>
      </c>
      <c r="I914" t="s">
        <v>881</v>
      </c>
      <c r="J914" t="s">
        <v>36</v>
      </c>
      <c r="K914" t="s">
        <v>2123</v>
      </c>
      <c r="L914" t="s">
        <v>2133</v>
      </c>
      <c r="M914">
        <v>1804</v>
      </c>
    </row>
    <row r="915" spans="6:13" x14ac:dyDescent="0.35">
      <c r="F915" s="483">
        <v>43357</v>
      </c>
      <c r="G915">
        <f t="shared" si="14"/>
        <v>2018</v>
      </c>
      <c r="H915" t="s">
        <v>1828</v>
      </c>
      <c r="I915" t="s">
        <v>939</v>
      </c>
      <c r="J915" t="s">
        <v>23</v>
      </c>
      <c r="K915" t="s">
        <v>2123</v>
      </c>
      <c r="L915" t="s">
        <v>2124</v>
      </c>
      <c r="M915">
        <v>7678</v>
      </c>
    </row>
    <row r="916" spans="6:13" x14ac:dyDescent="0.35">
      <c r="F916" s="483">
        <v>43185</v>
      </c>
      <c r="G916">
        <f t="shared" si="14"/>
        <v>2018</v>
      </c>
      <c r="H916" t="s">
        <v>1829</v>
      </c>
      <c r="I916" t="s">
        <v>881</v>
      </c>
      <c r="J916" t="s">
        <v>30</v>
      </c>
      <c r="K916" t="s">
        <v>907</v>
      </c>
      <c r="L916" t="s">
        <v>2125</v>
      </c>
      <c r="M916">
        <v>8188</v>
      </c>
    </row>
    <row r="917" spans="6:13" x14ac:dyDescent="0.35">
      <c r="F917" s="483">
        <v>42794</v>
      </c>
      <c r="G917">
        <f t="shared" si="14"/>
        <v>2017</v>
      </c>
      <c r="H917" t="s">
        <v>1830</v>
      </c>
      <c r="I917" t="s">
        <v>881</v>
      </c>
      <c r="J917" t="s">
        <v>33</v>
      </c>
      <c r="K917" t="s">
        <v>907</v>
      </c>
      <c r="L917" t="s">
        <v>2131</v>
      </c>
      <c r="M917">
        <v>4789</v>
      </c>
    </row>
    <row r="918" spans="6:13" x14ac:dyDescent="0.35">
      <c r="F918" s="483">
        <v>42941</v>
      </c>
      <c r="G918">
        <f t="shared" si="14"/>
        <v>2017</v>
      </c>
      <c r="H918" t="s">
        <v>1831</v>
      </c>
      <c r="I918" t="s">
        <v>885</v>
      </c>
      <c r="J918" t="s">
        <v>29</v>
      </c>
      <c r="K918" t="s">
        <v>907</v>
      </c>
      <c r="L918" t="s">
        <v>2131</v>
      </c>
      <c r="M918">
        <v>2084</v>
      </c>
    </row>
    <row r="919" spans="6:13" x14ac:dyDescent="0.35">
      <c r="F919" s="483">
        <v>43459</v>
      </c>
      <c r="G919">
        <f t="shared" si="14"/>
        <v>2018</v>
      </c>
      <c r="H919" t="s">
        <v>1832</v>
      </c>
      <c r="I919" t="s">
        <v>885</v>
      </c>
      <c r="J919" t="s">
        <v>35</v>
      </c>
      <c r="K919" t="s">
        <v>890</v>
      </c>
      <c r="L919" t="s">
        <v>2129</v>
      </c>
      <c r="M919">
        <v>7471</v>
      </c>
    </row>
    <row r="920" spans="6:13" x14ac:dyDescent="0.35">
      <c r="F920" s="483">
        <v>43131</v>
      </c>
      <c r="G920">
        <f t="shared" si="14"/>
        <v>2018</v>
      </c>
      <c r="H920" t="s">
        <v>1833</v>
      </c>
      <c r="I920" t="s">
        <v>881</v>
      </c>
      <c r="J920" t="s">
        <v>38</v>
      </c>
      <c r="K920" t="s">
        <v>882</v>
      </c>
      <c r="L920" t="s">
        <v>2130</v>
      </c>
      <c r="M920">
        <v>6868</v>
      </c>
    </row>
    <row r="921" spans="6:13" x14ac:dyDescent="0.35">
      <c r="F921" s="483">
        <v>43448</v>
      </c>
      <c r="G921">
        <f t="shared" si="14"/>
        <v>2018</v>
      </c>
      <c r="H921" t="s">
        <v>1834</v>
      </c>
      <c r="I921" t="s">
        <v>881</v>
      </c>
      <c r="J921" t="s">
        <v>37</v>
      </c>
      <c r="K921" t="s">
        <v>890</v>
      </c>
      <c r="L921" t="s">
        <v>2131</v>
      </c>
      <c r="M921">
        <v>4623</v>
      </c>
    </row>
    <row r="922" spans="6:13" x14ac:dyDescent="0.35">
      <c r="F922" s="483">
        <v>42820</v>
      </c>
      <c r="G922">
        <f t="shared" si="14"/>
        <v>2017</v>
      </c>
      <c r="H922" t="s">
        <v>1835</v>
      </c>
      <c r="I922" t="s">
        <v>1022</v>
      </c>
      <c r="J922" t="s">
        <v>35</v>
      </c>
      <c r="K922" t="s">
        <v>882</v>
      </c>
      <c r="L922" t="s">
        <v>2131</v>
      </c>
      <c r="M922">
        <v>5343</v>
      </c>
    </row>
    <row r="923" spans="6:13" x14ac:dyDescent="0.35">
      <c r="F923" s="483">
        <v>43386</v>
      </c>
      <c r="G923">
        <f t="shared" si="14"/>
        <v>2018</v>
      </c>
      <c r="H923" t="s">
        <v>1836</v>
      </c>
      <c r="I923" t="s">
        <v>885</v>
      </c>
      <c r="J923" t="s">
        <v>38</v>
      </c>
      <c r="K923" t="s">
        <v>907</v>
      </c>
      <c r="L923" t="s">
        <v>2130</v>
      </c>
      <c r="M923">
        <v>4152</v>
      </c>
    </row>
    <row r="924" spans="6:13" x14ac:dyDescent="0.35">
      <c r="F924" s="483">
        <v>43404</v>
      </c>
      <c r="G924">
        <f t="shared" si="14"/>
        <v>2018</v>
      </c>
      <c r="H924" t="s">
        <v>1837</v>
      </c>
      <c r="I924" t="s">
        <v>895</v>
      </c>
      <c r="J924" t="s">
        <v>37</v>
      </c>
      <c r="K924" t="s">
        <v>890</v>
      </c>
      <c r="L924" t="s">
        <v>2128</v>
      </c>
      <c r="M924">
        <v>6106</v>
      </c>
    </row>
    <row r="925" spans="6:13" x14ac:dyDescent="0.35">
      <c r="F925" s="483">
        <v>43268</v>
      </c>
      <c r="G925">
        <f t="shared" si="14"/>
        <v>2018</v>
      </c>
      <c r="H925" t="s">
        <v>1838</v>
      </c>
      <c r="I925" t="s">
        <v>881</v>
      </c>
      <c r="J925" t="s">
        <v>34</v>
      </c>
      <c r="K925" t="s">
        <v>2123</v>
      </c>
      <c r="L925" t="s">
        <v>2129</v>
      </c>
      <c r="M925">
        <v>5693</v>
      </c>
    </row>
    <row r="926" spans="6:13" x14ac:dyDescent="0.35">
      <c r="F926" s="483">
        <v>43208</v>
      </c>
      <c r="G926">
        <f t="shared" si="14"/>
        <v>2018</v>
      </c>
      <c r="H926" t="s">
        <v>1839</v>
      </c>
      <c r="I926" t="s">
        <v>881</v>
      </c>
      <c r="J926" t="s">
        <v>35</v>
      </c>
      <c r="K926" t="s">
        <v>882</v>
      </c>
      <c r="L926" t="s">
        <v>2132</v>
      </c>
      <c r="M926">
        <v>6829</v>
      </c>
    </row>
    <row r="927" spans="6:13" x14ac:dyDescent="0.35">
      <c r="F927" s="483">
        <v>43458</v>
      </c>
      <c r="G927">
        <f t="shared" si="14"/>
        <v>2018</v>
      </c>
      <c r="H927" t="s">
        <v>1840</v>
      </c>
      <c r="I927" t="s">
        <v>923</v>
      </c>
      <c r="J927" t="s">
        <v>34</v>
      </c>
      <c r="K927" t="s">
        <v>882</v>
      </c>
      <c r="L927" t="s">
        <v>2124</v>
      </c>
      <c r="M927">
        <v>5593</v>
      </c>
    </row>
    <row r="928" spans="6:13" x14ac:dyDescent="0.35">
      <c r="F928" s="483">
        <v>43360</v>
      </c>
      <c r="G928">
        <f t="shared" si="14"/>
        <v>2018</v>
      </c>
      <c r="H928" t="s">
        <v>1841</v>
      </c>
      <c r="I928" t="s">
        <v>881</v>
      </c>
      <c r="J928" t="s">
        <v>34</v>
      </c>
      <c r="K928" t="s">
        <v>882</v>
      </c>
      <c r="L928" t="s">
        <v>2130</v>
      </c>
      <c r="M928">
        <v>1766</v>
      </c>
    </row>
    <row r="929" spans="6:13" x14ac:dyDescent="0.35">
      <c r="F929" s="483">
        <v>42971</v>
      </c>
      <c r="G929">
        <f t="shared" si="14"/>
        <v>2017</v>
      </c>
      <c r="H929" t="s">
        <v>1842</v>
      </c>
      <c r="I929" t="s">
        <v>881</v>
      </c>
      <c r="J929" t="s">
        <v>28</v>
      </c>
      <c r="K929" t="s">
        <v>890</v>
      </c>
      <c r="L929" t="s">
        <v>2124</v>
      </c>
      <c r="M929">
        <v>6254</v>
      </c>
    </row>
    <row r="930" spans="6:13" x14ac:dyDescent="0.35">
      <c r="F930" s="483">
        <v>42979</v>
      </c>
      <c r="G930">
        <f t="shared" si="14"/>
        <v>2017</v>
      </c>
      <c r="H930" t="s">
        <v>1843</v>
      </c>
      <c r="I930" t="s">
        <v>881</v>
      </c>
      <c r="J930" t="s">
        <v>24</v>
      </c>
      <c r="K930" t="s">
        <v>882</v>
      </c>
      <c r="L930" t="s">
        <v>2132</v>
      </c>
      <c r="M930">
        <v>4929</v>
      </c>
    </row>
    <row r="931" spans="6:13" x14ac:dyDescent="0.35">
      <c r="F931" s="483">
        <v>43039</v>
      </c>
      <c r="G931">
        <f t="shared" si="14"/>
        <v>2017</v>
      </c>
      <c r="H931" t="s">
        <v>1844</v>
      </c>
      <c r="I931" t="s">
        <v>881</v>
      </c>
      <c r="J931" t="s">
        <v>24</v>
      </c>
      <c r="K931" t="s">
        <v>890</v>
      </c>
      <c r="L931" t="s">
        <v>2130</v>
      </c>
      <c r="M931">
        <v>3780</v>
      </c>
    </row>
    <row r="932" spans="6:13" x14ac:dyDescent="0.35">
      <c r="F932" s="483">
        <v>42790</v>
      </c>
      <c r="G932">
        <f t="shared" si="14"/>
        <v>2017</v>
      </c>
      <c r="H932" t="s">
        <v>1845</v>
      </c>
      <c r="I932" t="s">
        <v>881</v>
      </c>
      <c r="J932" t="s">
        <v>38</v>
      </c>
      <c r="K932" t="s">
        <v>2123</v>
      </c>
      <c r="L932" t="s">
        <v>2124</v>
      </c>
      <c r="M932">
        <v>8684</v>
      </c>
    </row>
    <row r="933" spans="6:13" x14ac:dyDescent="0.35">
      <c r="F933" s="483">
        <v>43370</v>
      </c>
      <c r="G933">
        <f t="shared" si="14"/>
        <v>2018</v>
      </c>
      <c r="H933" t="s">
        <v>1846</v>
      </c>
      <c r="I933" t="s">
        <v>885</v>
      </c>
      <c r="J933" t="s">
        <v>33</v>
      </c>
      <c r="K933" t="s">
        <v>907</v>
      </c>
      <c r="L933" t="s">
        <v>2128</v>
      </c>
      <c r="M933">
        <v>5875</v>
      </c>
    </row>
    <row r="934" spans="6:13" x14ac:dyDescent="0.35">
      <c r="F934" s="483">
        <v>42829</v>
      </c>
      <c r="G934">
        <f t="shared" si="14"/>
        <v>2017</v>
      </c>
      <c r="H934" t="s">
        <v>1847</v>
      </c>
      <c r="I934" t="s">
        <v>881</v>
      </c>
      <c r="J934" t="s">
        <v>33</v>
      </c>
      <c r="K934" t="s">
        <v>890</v>
      </c>
      <c r="L934" t="s">
        <v>2130</v>
      </c>
      <c r="M934">
        <v>3926</v>
      </c>
    </row>
    <row r="935" spans="6:13" x14ac:dyDescent="0.35">
      <c r="F935" s="483">
        <v>42975</v>
      </c>
      <c r="G935">
        <f t="shared" si="14"/>
        <v>2017</v>
      </c>
      <c r="H935" t="s">
        <v>1848</v>
      </c>
      <c r="I935" t="s">
        <v>881</v>
      </c>
      <c r="J935" t="s">
        <v>28</v>
      </c>
      <c r="K935" t="s">
        <v>882</v>
      </c>
      <c r="L935" t="s">
        <v>2124</v>
      </c>
      <c r="M935">
        <v>6740</v>
      </c>
    </row>
    <row r="936" spans="6:13" x14ac:dyDescent="0.35">
      <c r="F936" s="483">
        <v>43023</v>
      </c>
      <c r="G936">
        <f t="shared" si="14"/>
        <v>2017</v>
      </c>
      <c r="H936" t="s">
        <v>1849</v>
      </c>
      <c r="I936" t="s">
        <v>881</v>
      </c>
      <c r="J936" t="s">
        <v>23</v>
      </c>
      <c r="K936" t="s">
        <v>2123</v>
      </c>
      <c r="L936" t="s">
        <v>2125</v>
      </c>
      <c r="M936">
        <v>7947</v>
      </c>
    </row>
    <row r="937" spans="6:13" x14ac:dyDescent="0.35">
      <c r="F937" s="483">
        <v>43006</v>
      </c>
      <c r="G937">
        <f t="shared" si="14"/>
        <v>2017</v>
      </c>
      <c r="H937" t="s">
        <v>1850</v>
      </c>
      <c r="I937" t="s">
        <v>923</v>
      </c>
      <c r="J937" t="s">
        <v>26</v>
      </c>
      <c r="K937" t="s">
        <v>890</v>
      </c>
      <c r="L937" t="s">
        <v>2131</v>
      </c>
      <c r="M937">
        <v>3072</v>
      </c>
    </row>
    <row r="938" spans="6:13" x14ac:dyDescent="0.35">
      <c r="F938" s="483">
        <v>43135</v>
      </c>
      <c r="G938">
        <f t="shared" si="14"/>
        <v>2018</v>
      </c>
      <c r="H938" t="s">
        <v>1851</v>
      </c>
      <c r="I938" t="s">
        <v>881</v>
      </c>
      <c r="J938" t="s">
        <v>38</v>
      </c>
      <c r="K938" t="s">
        <v>882</v>
      </c>
      <c r="L938" t="s">
        <v>2126</v>
      </c>
      <c r="M938">
        <v>2937</v>
      </c>
    </row>
    <row r="939" spans="6:13" x14ac:dyDescent="0.35">
      <c r="F939" s="483">
        <v>42985</v>
      </c>
      <c r="G939">
        <f t="shared" si="14"/>
        <v>2017</v>
      </c>
      <c r="H939" t="s">
        <v>1852</v>
      </c>
      <c r="I939" t="s">
        <v>881</v>
      </c>
      <c r="J939" t="s">
        <v>34</v>
      </c>
      <c r="K939" t="s">
        <v>882</v>
      </c>
      <c r="L939" t="s">
        <v>2125</v>
      </c>
      <c r="M939">
        <v>2068</v>
      </c>
    </row>
    <row r="940" spans="6:13" x14ac:dyDescent="0.35">
      <c r="F940" s="483">
        <v>43090</v>
      </c>
      <c r="G940">
        <f t="shared" si="14"/>
        <v>2017</v>
      </c>
      <c r="H940" t="s">
        <v>1853</v>
      </c>
      <c r="I940" t="s">
        <v>930</v>
      </c>
      <c r="J940" t="s">
        <v>33</v>
      </c>
      <c r="K940" t="s">
        <v>2123</v>
      </c>
      <c r="L940" t="s">
        <v>2127</v>
      </c>
      <c r="M940">
        <v>2620</v>
      </c>
    </row>
    <row r="941" spans="6:13" x14ac:dyDescent="0.35">
      <c r="F941" s="483">
        <v>43015</v>
      </c>
      <c r="G941">
        <f t="shared" si="14"/>
        <v>2017</v>
      </c>
      <c r="H941" t="s">
        <v>1854</v>
      </c>
      <c r="I941" t="s">
        <v>881</v>
      </c>
      <c r="J941" t="s">
        <v>38</v>
      </c>
      <c r="K941" t="s">
        <v>890</v>
      </c>
      <c r="L941" t="s">
        <v>2128</v>
      </c>
      <c r="M941">
        <v>6186</v>
      </c>
    </row>
    <row r="942" spans="6:13" x14ac:dyDescent="0.35">
      <c r="F942" s="483">
        <v>42771</v>
      </c>
      <c r="G942">
        <f t="shared" si="14"/>
        <v>2017</v>
      </c>
      <c r="H942" t="s">
        <v>1855</v>
      </c>
      <c r="I942" t="s">
        <v>1018</v>
      </c>
      <c r="J942" t="s">
        <v>38</v>
      </c>
      <c r="K942" t="s">
        <v>2123</v>
      </c>
      <c r="L942" t="s">
        <v>2126</v>
      </c>
      <c r="M942">
        <v>2632</v>
      </c>
    </row>
    <row r="943" spans="6:13" x14ac:dyDescent="0.35">
      <c r="F943" s="483">
        <v>43418</v>
      </c>
      <c r="G943">
        <f t="shared" si="14"/>
        <v>2018</v>
      </c>
      <c r="H943" t="s">
        <v>1856</v>
      </c>
      <c r="I943" t="s">
        <v>881</v>
      </c>
      <c r="J943" t="s">
        <v>28</v>
      </c>
      <c r="K943" t="s">
        <v>882</v>
      </c>
      <c r="L943" t="s">
        <v>2132</v>
      </c>
      <c r="M943">
        <v>6902</v>
      </c>
    </row>
    <row r="944" spans="6:13" x14ac:dyDescent="0.35">
      <c r="F944" s="483">
        <v>43071</v>
      </c>
      <c r="G944">
        <f t="shared" si="14"/>
        <v>2017</v>
      </c>
      <c r="H944" t="s">
        <v>1857</v>
      </c>
      <c r="I944" t="s">
        <v>881</v>
      </c>
      <c r="J944" t="s">
        <v>26</v>
      </c>
      <c r="K944" t="s">
        <v>882</v>
      </c>
      <c r="L944" t="s">
        <v>2131</v>
      </c>
      <c r="M944">
        <v>4334</v>
      </c>
    </row>
    <row r="945" spans="6:13" x14ac:dyDescent="0.35">
      <c r="F945" s="483">
        <v>43433</v>
      </c>
      <c r="G945">
        <f t="shared" si="14"/>
        <v>2018</v>
      </c>
      <c r="H945" t="s">
        <v>1858</v>
      </c>
      <c r="I945" t="s">
        <v>881</v>
      </c>
      <c r="J945" t="s">
        <v>38</v>
      </c>
      <c r="K945" t="s">
        <v>2123</v>
      </c>
      <c r="L945" t="s">
        <v>2127</v>
      </c>
      <c r="M945">
        <v>7200</v>
      </c>
    </row>
    <row r="946" spans="6:13" x14ac:dyDescent="0.35">
      <c r="F946" s="483">
        <v>43185</v>
      </c>
      <c r="G946">
        <f t="shared" si="14"/>
        <v>2018</v>
      </c>
      <c r="H946" t="s">
        <v>1859</v>
      </c>
      <c r="I946" t="s">
        <v>885</v>
      </c>
      <c r="J946" t="s">
        <v>31</v>
      </c>
      <c r="K946" t="s">
        <v>2123</v>
      </c>
      <c r="L946" t="s">
        <v>2128</v>
      </c>
      <c r="M946">
        <v>2721</v>
      </c>
    </row>
    <row r="947" spans="6:13" x14ac:dyDescent="0.35">
      <c r="F947" s="483">
        <v>42871</v>
      </c>
      <c r="G947">
        <f t="shared" si="14"/>
        <v>2017</v>
      </c>
      <c r="H947" t="s">
        <v>1860</v>
      </c>
      <c r="I947" t="s">
        <v>885</v>
      </c>
      <c r="J947" t="s">
        <v>28</v>
      </c>
      <c r="K947" t="s">
        <v>882</v>
      </c>
      <c r="L947" t="s">
        <v>2133</v>
      </c>
      <c r="M947">
        <v>5041</v>
      </c>
    </row>
    <row r="948" spans="6:13" x14ac:dyDescent="0.35">
      <c r="F948" s="483">
        <v>42772</v>
      </c>
      <c r="G948">
        <f t="shared" si="14"/>
        <v>2017</v>
      </c>
      <c r="H948" t="s">
        <v>1861</v>
      </c>
      <c r="I948" t="s">
        <v>881</v>
      </c>
      <c r="J948" t="s">
        <v>31</v>
      </c>
      <c r="K948" t="s">
        <v>890</v>
      </c>
      <c r="L948" t="s">
        <v>2128</v>
      </c>
      <c r="M948">
        <v>7649</v>
      </c>
    </row>
    <row r="949" spans="6:13" x14ac:dyDescent="0.35">
      <c r="F949" s="483">
        <v>43329</v>
      </c>
      <c r="G949">
        <f t="shared" si="14"/>
        <v>2018</v>
      </c>
      <c r="H949" t="s">
        <v>1862</v>
      </c>
      <c r="I949" t="s">
        <v>881</v>
      </c>
      <c r="J949" t="s">
        <v>37</v>
      </c>
      <c r="K949" t="s">
        <v>890</v>
      </c>
      <c r="L949" t="s">
        <v>2126</v>
      </c>
      <c r="M949">
        <v>2225</v>
      </c>
    </row>
    <row r="950" spans="6:13" x14ac:dyDescent="0.35">
      <c r="F950" s="483">
        <v>43116</v>
      </c>
      <c r="G950">
        <f t="shared" si="14"/>
        <v>2018</v>
      </c>
      <c r="H950" t="s">
        <v>1863</v>
      </c>
      <c r="I950" t="s">
        <v>881</v>
      </c>
      <c r="J950" t="s">
        <v>24</v>
      </c>
      <c r="K950" t="s">
        <v>907</v>
      </c>
      <c r="L950" t="s">
        <v>2132</v>
      </c>
      <c r="M950">
        <v>2121</v>
      </c>
    </row>
    <row r="951" spans="6:13" x14ac:dyDescent="0.35">
      <c r="F951" s="483">
        <v>43456</v>
      </c>
      <c r="G951">
        <f t="shared" si="14"/>
        <v>2018</v>
      </c>
      <c r="H951" t="s">
        <v>1864</v>
      </c>
      <c r="I951" t="s">
        <v>881</v>
      </c>
      <c r="J951" t="s">
        <v>28</v>
      </c>
      <c r="K951" t="s">
        <v>882</v>
      </c>
      <c r="L951" t="s">
        <v>2126</v>
      </c>
      <c r="M951">
        <v>8884</v>
      </c>
    </row>
    <row r="952" spans="6:13" x14ac:dyDescent="0.35">
      <c r="F952" s="483">
        <v>43203</v>
      </c>
      <c r="G952">
        <f t="shared" si="14"/>
        <v>2018</v>
      </c>
      <c r="H952" t="s">
        <v>1865</v>
      </c>
      <c r="I952" t="s">
        <v>881</v>
      </c>
      <c r="J952" t="s">
        <v>24</v>
      </c>
      <c r="K952" t="s">
        <v>2123</v>
      </c>
      <c r="L952" t="s">
        <v>2132</v>
      </c>
      <c r="M952">
        <v>5953</v>
      </c>
    </row>
    <row r="953" spans="6:13" x14ac:dyDescent="0.35">
      <c r="F953" s="483">
        <v>43328</v>
      </c>
      <c r="G953">
        <f t="shared" si="14"/>
        <v>2018</v>
      </c>
      <c r="H953" t="s">
        <v>1866</v>
      </c>
      <c r="I953" t="s">
        <v>885</v>
      </c>
      <c r="J953" t="s">
        <v>38</v>
      </c>
      <c r="K953" t="s">
        <v>882</v>
      </c>
      <c r="L953" t="s">
        <v>2130</v>
      </c>
      <c r="M953">
        <v>5252</v>
      </c>
    </row>
    <row r="954" spans="6:13" x14ac:dyDescent="0.35">
      <c r="F954" s="483">
        <v>43120</v>
      </c>
      <c r="G954">
        <f t="shared" si="14"/>
        <v>2018</v>
      </c>
      <c r="H954" t="s">
        <v>1867</v>
      </c>
      <c r="I954" t="s">
        <v>1210</v>
      </c>
      <c r="J954" t="s">
        <v>38</v>
      </c>
      <c r="K954" t="s">
        <v>2123</v>
      </c>
      <c r="L954" t="s">
        <v>2133</v>
      </c>
      <c r="M954">
        <v>6363</v>
      </c>
    </row>
    <row r="955" spans="6:13" x14ac:dyDescent="0.35">
      <c r="F955" s="483">
        <v>43427</v>
      </c>
      <c r="G955">
        <f t="shared" si="14"/>
        <v>2018</v>
      </c>
      <c r="H955" t="s">
        <v>1868</v>
      </c>
      <c r="I955" t="s">
        <v>881</v>
      </c>
      <c r="J955" t="s">
        <v>23</v>
      </c>
      <c r="K955" t="s">
        <v>907</v>
      </c>
      <c r="L955" t="s">
        <v>2127</v>
      </c>
      <c r="M955">
        <v>3159</v>
      </c>
    </row>
    <row r="956" spans="6:13" x14ac:dyDescent="0.35">
      <c r="F956" s="483">
        <v>43185</v>
      </c>
      <c r="G956">
        <f t="shared" si="14"/>
        <v>2018</v>
      </c>
      <c r="H956" t="s">
        <v>1869</v>
      </c>
      <c r="I956" t="s">
        <v>881</v>
      </c>
      <c r="J956" t="s">
        <v>29</v>
      </c>
      <c r="K956" t="s">
        <v>890</v>
      </c>
      <c r="L956" t="s">
        <v>2128</v>
      </c>
      <c r="M956">
        <v>8252</v>
      </c>
    </row>
    <row r="957" spans="6:13" x14ac:dyDescent="0.35">
      <c r="F957" s="483">
        <v>43456</v>
      </c>
      <c r="G957">
        <f t="shared" si="14"/>
        <v>2018</v>
      </c>
      <c r="H957" t="s">
        <v>1870</v>
      </c>
      <c r="I957" t="s">
        <v>881</v>
      </c>
      <c r="J957" t="s">
        <v>28</v>
      </c>
      <c r="K957" t="s">
        <v>890</v>
      </c>
      <c r="L957" t="s">
        <v>2127</v>
      </c>
      <c r="M957">
        <v>4584</v>
      </c>
    </row>
    <row r="958" spans="6:13" x14ac:dyDescent="0.35">
      <c r="F958" s="483">
        <v>42849</v>
      </c>
      <c r="G958">
        <f t="shared" si="14"/>
        <v>2017</v>
      </c>
      <c r="H958" t="s">
        <v>1871</v>
      </c>
      <c r="I958" t="s">
        <v>881</v>
      </c>
      <c r="J958" t="s">
        <v>35</v>
      </c>
      <c r="K958" t="s">
        <v>907</v>
      </c>
      <c r="L958" t="s">
        <v>2129</v>
      </c>
      <c r="M958">
        <v>6916</v>
      </c>
    </row>
    <row r="959" spans="6:13" x14ac:dyDescent="0.35">
      <c r="F959" s="483">
        <v>43254</v>
      </c>
      <c r="G959">
        <f t="shared" si="14"/>
        <v>2018</v>
      </c>
      <c r="H959" t="s">
        <v>1872</v>
      </c>
      <c r="I959" t="s">
        <v>885</v>
      </c>
      <c r="J959" t="s">
        <v>31</v>
      </c>
      <c r="K959" t="s">
        <v>2123</v>
      </c>
      <c r="L959" t="s">
        <v>2133</v>
      </c>
      <c r="M959">
        <v>5136</v>
      </c>
    </row>
    <row r="960" spans="6:13" x14ac:dyDescent="0.35">
      <c r="F960" s="483">
        <v>43388</v>
      </c>
      <c r="G960">
        <f t="shared" si="14"/>
        <v>2018</v>
      </c>
      <c r="H960" t="s">
        <v>1873</v>
      </c>
      <c r="I960" t="s">
        <v>881</v>
      </c>
      <c r="J960" t="s">
        <v>37</v>
      </c>
      <c r="K960" t="s">
        <v>882</v>
      </c>
      <c r="L960" t="s">
        <v>2127</v>
      </c>
      <c r="M960">
        <v>2241</v>
      </c>
    </row>
    <row r="961" spans="6:13" x14ac:dyDescent="0.35">
      <c r="F961" s="483">
        <v>42878</v>
      </c>
      <c r="G961">
        <f t="shared" si="14"/>
        <v>2017</v>
      </c>
      <c r="H961" t="s">
        <v>1874</v>
      </c>
      <c r="I961" t="s">
        <v>881</v>
      </c>
      <c r="J961" t="s">
        <v>32</v>
      </c>
      <c r="K961" t="s">
        <v>907</v>
      </c>
      <c r="L961" t="s">
        <v>2133</v>
      </c>
      <c r="M961">
        <v>3611</v>
      </c>
    </row>
    <row r="962" spans="6:13" x14ac:dyDescent="0.35">
      <c r="F962" s="483">
        <v>43203</v>
      </c>
      <c r="G962">
        <f t="shared" si="14"/>
        <v>2018</v>
      </c>
      <c r="H962" t="s">
        <v>1875</v>
      </c>
      <c r="I962" t="s">
        <v>881</v>
      </c>
      <c r="J962" t="s">
        <v>24</v>
      </c>
      <c r="K962" t="s">
        <v>2123</v>
      </c>
      <c r="L962" t="s">
        <v>2132</v>
      </c>
      <c r="M962">
        <v>3820</v>
      </c>
    </row>
    <row r="963" spans="6:13" x14ac:dyDescent="0.35">
      <c r="F963" s="483">
        <v>42781</v>
      </c>
      <c r="G963">
        <f t="shared" si="14"/>
        <v>2017</v>
      </c>
      <c r="H963" t="s">
        <v>1876</v>
      </c>
      <c r="I963" t="s">
        <v>881</v>
      </c>
      <c r="J963" t="s">
        <v>36</v>
      </c>
      <c r="K963" t="s">
        <v>890</v>
      </c>
      <c r="L963" t="s">
        <v>2128</v>
      </c>
      <c r="M963">
        <v>6932</v>
      </c>
    </row>
    <row r="964" spans="6:13" x14ac:dyDescent="0.35">
      <c r="F964" s="483">
        <v>42748</v>
      </c>
      <c r="G964">
        <f t="shared" si="14"/>
        <v>2017</v>
      </c>
      <c r="H964" t="s">
        <v>1877</v>
      </c>
      <c r="I964" t="s">
        <v>881</v>
      </c>
      <c r="J964" t="s">
        <v>24</v>
      </c>
      <c r="K964" t="s">
        <v>907</v>
      </c>
      <c r="L964" t="s">
        <v>2132</v>
      </c>
      <c r="M964">
        <v>4076</v>
      </c>
    </row>
    <row r="965" spans="6:13" x14ac:dyDescent="0.35">
      <c r="F965" s="483">
        <v>43125</v>
      </c>
      <c r="G965">
        <f t="shared" si="14"/>
        <v>2018</v>
      </c>
      <c r="H965" t="s">
        <v>1878</v>
      </c>
      <c r="I965" t="s">
        <v>885</v>
      </c>
      <c r="J965" t="s">
        <v>36</v>
      </c>
      <c r="K965" t="s">
        <v>2123</v>
      </c>
      <c r="L965" t="s">
        <v>2128</v>
      </c>
      <c r="M965">
        <v>1486</v>
      </c>
    </row>
    <row r="966" spans="6:13" x14ac:dyDescent="0.35">
      <c r="F966" s="483">
        <v>42840</v>
      </c>
      <c r="G966">
        <f t="shared" si="14"/>
        <v>2017</v>
      </c>
      <c r="H966" t="s">
        <v>1879</v>
      </c>
      <c r="I966" t="s">
        <v>991</v>
      </c>
      <c r="J966" t="s">
        <v>36</v>
      </c>
      <c r="K966" t="s">
        <v>890</v>
      </c>
      <c r="L966" t="s">
        <v>2126</v>
      </c>
      <c r="M966">
        <v>1408</v>
      </c>
    </row>
    <row r="967" spans="6:13" x14ac:dyDescent="0.35">
      <c r="F967" s="483">
        <v>42768</v>
      </c>
      <c r="G967">
        <f t="shared" si="14"/>
        <v>2017</v>
      </c>
      <c r="H967" t="s">
        <v>1880</v>
      </c>
      <c r="I967" t="s">
        <v>881</v>
      </c>
      <c r="J967" t="s">
        <v>28</v>
      </c>
      <c r="K967" t="s">
        <v>907</v>
      </c>
      <c r="L967" t="s">
        <v>2124</v>
      </c>
      <c r="M967">
        <v>7922</v>
      </c>
    </row>
    <row r="968" spans="6:13" x14ac:dyDescent="0.35">
      <c r="F968" s="483">
        <v>43255</v>
      </c>
      <c r="G968">
        <f t="shared" si="14"/>
        <v>2018</v>
      </c>
      <c r="H968" t="s">
        <v>1881</v>
      </c>
      <c r="I968" t="s">
        <v>1018</v>
      </c>
      <c r="J968" t="s">
        <v>34</v>
      </c>
      <c r="K968" t="s">
        <v>907</v>
      </c>
      <c r="L968" t="s">
        <v>2131</v>
      </c>
      <c r="M968">
        <v>7989</v>
      </c>
    </row>
    <row r="969" spans="6:13" x14ac:dyDescent="0.35">
      <c r="F969" s="483">
        <v>42898</v>
      </c>
      <c r="G969">
        <f t="shared" si="14"/>
        <v>2017</v>
      </c>
      <c r="H969" t="s">
        <v>1882</v>
      </c>
      <c r="I969" t="s">
        <v>881</v>
      </c>
      <c r="J969" t="s">
        <v>36</v>
      </c>
      <c r="K969" t="s">
        <v>890</v>
      </c>
      <c r="L969" t="s">
        <v>2126</v>
      </c>
      <c r="M969">
        <v>4739</v>
      </c>
    </row>
    <row r="970" spans="6:13" x14ac:dyDescent="0.35">
      <c r="F970" s="483">
        <v>43146</v>
      </c>
      <c r="G970">
        <f t="shared" ref="G970:G1033" si="15">YEAR(F970)</f>
        <v>2018</v>
      </c>
      <c r="H970" t="s">
        <v>1883</v>
      </c>
      <c r="I970" t="s">
        <v>881</v>
      </c>
      <c r="J970" t="s">
        <v>24</v>
      </c>
      <c r="K970" t="s">
        <v>907</v>
      </c>
      <c r="L970" t="s">
        <v>2126</v>
      </c>
      <c r="M970">
        <v>6430</v>
      </c>
    </row>
    <row r="971" spans="6:13" x14ac:dyDescent="0.35">
      <c r="F971" s="483">
        <v>43256</v>
      </c>
      <c r="G971">
        <f t="shared" si="15"/>
        <v>2018</v>
      </c>
      <c r="H971" t="s">
        <v>1884</v>
      </c>
      <c r="I971" t="s">
        <v>881</v>
      </c>
      <c r="J971" t="s">
        <v>35</v>
      </c>
      <c r="K971" t="s">
        <v>890</v>
      </c>
      <c r="L971" t="s">
        <v>2133</v>
      </c>
      <c r="M971">
        <v>1348</v>
      </c>
    </row>
    <row r="972" spans="6:13" x14ac:dyDescent="0.35">
      <c r="F972" s="483">
        <v>42897</v>
      </c>
      <c r="G972">
        <f t="shared" si="15"/>
        <v>2017</v>
      </c>
      <c r="H972" t="s">
        <v>1885</v>
      </c>
      <c r="I972" t="s">
        <v>881</v>
      </c>
      <c r="J972" t="s">
        <v>23</v>
      </c>
      <c r="K972" t="s">
        <v>882</v>
      </c>
      <c r="L972" t="s">
        <v>2128</v>
      </c>
      <c r="M972">
        <v>2218</v>
      </c>
    </row>
    <row r="973" spans="6:13" x14ac:dyDescent="0.35">
      <c r="F973" s="483">
        <v>43034</v>
      </c>
      <c r="G973">
        <f t="shared" si="15"/>
        <v>2017</v>
      </c>
      <c r="H973" t="s">
        <v>1886</v>
      </c>
      <c r="I973" t="s">
        <v>881</v>
      </c>
      <c r="J973" t="s">
        <v>23</v>
      </c>
      <c r="K973" t="s">
        <v>882</v>
      </c>
      <c r="L973" t="s">
        <v>2124</v>
      </c>
      <c r="M973">
        <v>4577</v>
      </c>
    </row>
    <row r="974" spans="6:13" x14ac:dyDescent="0.35">
      <c r="F974" s="483">
        <v>42954</v>
      </c>
      <c r="G974">
        <f t="shared" si="15"/>
        <v>2017</v>
      </c>
      <c r="H974" t="s">
        <v>1887</v>
      </c>
      <c r="I974" t="s">
        <v>881</v>
      </c>
      <c r="J974" t="s">
        <v>35</v>
      </c>
      <c r="K974" t="s">
        <v>2123</v>
      </c>
      <c r="L974" t="s">
        <v>2129</v>
      </c>
      <c r="M974">
        <v>3587</v>
      </c>
    </row>
    <row r="975" spans="6:13" x14ac:dyDescent="0.35">
      <c r="F975" s="483">
        <v>43245</v>
      </c>
      <c r="G975">
        <f t="shared" si="15"/>
        <v>2018</v>
      </c>
      <c r="H975" t="s">
        <v>1888</v>
      </c>
      <c r="I975" t="s">
        <v>881</v>
      </c>
      <c r="J975" t="s">
        <v>28</v>
      </c>
      <c r="K975" t="s">
        <v>2123</v>
      </c>
      <c r="L975" t="s">
        <v>2133</v>
      </c>
      <c r="M975">
        <v>3087</v>
      </c>
    </row>
    <row r="976" spans="6:13" x14ac:dyDescent="0.35">
      <c r="F976" s="483">
        <v>43312</v>
      </c>
      <c r="G976">
        <f t="shared" si="15"/>
        <v>2018</v>
      </c>
      <c r="H976" t="s">
        <v>1889</v>
      </c>
      <c r="I976" t="s">
        <v>881</v>
      </c>
      <c r="J976" t="s">
        <v>29</v>
      </c>
      <c r="K976" t="s">
        <v>882</v>
      </c>
      <c r="L976" t="s">
        <v>2126</v>
      </c>
      <c r="M976">
        <v>4285</v>
      </c>
    </row>
    <row r="977" spans="6:13" x14ac:dyDescent="0.35">
      <c r="F977" s="483">
        <v>42741</v>
      </c>
      <c r="G977">
        <f t="shared" si="15"/>
        <v>2017</v>
      </c>
      <c r="H977" t="s">
        <v>1890</v>
      </c>
      <c r="I977" t="s">
        <v>881</v>
      </c>
      <c r="J977" t="s">
        <v>34</v>
      </c>
      <c r="K977" t="s">
        <v>882</v>
      </c>
      <c r="L977" t="s">
        <v>2128</v>
      </c>
      <c r="M977">
        <v>4532</v>
      </c>
    </row>
    <row r="978" spans="6:13" x14ac:dyDescent="0.35">
      <c r="F978" s="483">
        <v>43399</v>
      </c>
      <c r="G978">
        <f t="shared" si="15"/>
        <v>2018</v>
      </c>
      <c r="H978" t="s">
        <v>1891</v>
      </c>
      <c r="I978" t="s">
        <v>881</v>
      </c>
      <c r="J978" t="s">
        <v>38</v>
      </c>
      <c r="K978" t="s">
        <v>2123</v>
      </c>
      <c r="L978" t="s">
        <v>2132</v>
      </c>
      <c r="M978">
        <v>6090</v>
      </c>
    </row>
    <row r="979" spans="6:13" x14ac:dyDescent="0.35">
      <c r="F979" s="483">
        <v>43261</v>
      </c>
      <c r="G979">
        <f t="shared" si="15"/>
        <v>2018</v>
      </c>
      <c r="H979" t="s">
        <v>1892</v>
      </c>
      <c r="I979" t="s">
        <v>881</v>
      </c>
      <c r="J979" t="s">
        <v>29</v>
      </c>
      <c r="K979" t="s">
        <v>2123</v>
      </c>
      <c r="L979" t="s">
        <v>2125</v>
      </c>
      <c r="M979">
        <v>4939</v>
      </c>
    </row>
    <row r="980" spans="6:13" x14ac:dyDescent="0.35">
      <c r="F980" s="483">
        <v>43363</v>
      </c>
      <c r="G980">
        <f t="shared" si="15"/>
        <v>2018</v>
      </c>
      <c r="H980" t="s">
        <v>1893</v>
      </c>
      <c r="I980" t="s">
        <v>881</v>
      </c>
      <c r="J980" t="s">
        <v>32</v>
      </c>
      <c r="K980" t="s">
        <v>882</v>
      </c>
      <c r="L980" t="s">
        <v>2126</v>
      </c>
      <c r="M980">
        <v>1134</v>
      </c>
    </row>
    <row r="981" spans="6:13" x14ac:dyDescent="0.35">
      <c r="F981" s="483">
        <v>42913</v>
      </c>
      <c r="G981">
        <f t="shared" si="15"/>
        <v>2017</v>
      </c>
      <c r="H981" t="s">
        <v>1894</v>
      </c>
      <c r="I981" t="s">
        <v>881</v>
      </c>
      <c r="J981" t="s">
        <v>30</v>
      </c>
      <c r="K981" t="s">
        <v>907</v>
      </c>
      <c r="L981" t="s">
        <v>2129</v>
      </c>
      <c r="M981">
        <v>8829</v>
      </c>
    </row>
    <row r="982" spans="6:13" x14ac:dyDescent="0.35">
      <c r="F982" s="483">
        <v>42880</v>
      </c>
      <c r="G982">
        <f t="shared" si="15"/>
        <v>2017</v>
      </c>
      <c r="H982" t="s">
        <v>1895</v>
      </c>
      <c r="I982" t="s">
        <v>881</v>
      </c>
      <c r="J982" t="s">
        <v>30</v>
      </c>
      <c r="K982" t="s">
        <v>907</v>
      </c>
      <c r="L982" t="s">
        <v>2128</v>
      </c>
      <c r="M982">
        <v>6704</v>
      </c>
    </row>
    <row r="983" spans="6:13" x14ac:dyDescent="0.35">
      <c r="F983" s="483">
        <v>43222</v>
      </c>
      <c r="G983">
        <f t="shared" si="15"/>
        <v>2018</v>
      </c>
      <c r="H983" t="s">
        <v>1896</v>
      </c>
      <c r="I983" t="s">
        <v>885</v>
      </c>
      <c r="J983" t="s">
        <v>30</v>
      </c>
      <c r="K983" t="s">
        <v>882</v>
      </c>
      <c r="L983" t="s">
        <v>2126</v>
      </c>
      <c r="M983">
        <v>7870</v>
      </c>
    </row>
    <row r="984" spans="6:13" x14ac:dyDescent="0.35">
      <c r="F984" s="483">
        <v>43197</v>
      </c>
      <c r="G984">
        <f t="shared" si="15"/>
        <v>2018</v>
      </c>
      <c r="H984" t="s">
        <v>1897</v>
      </c>
      <c r="I984" t="s">
        <v>881</v>
      </c>
      <c r="J984" t="s">
        <v>32</v>
      </c>
      <c r="K984" t="s">
        <v>890</v>
      </c>
      <c r="L984" t="s">
        <v>2130</v>
      </c>
      <c r="M984">
        <v>4413</v>
      </c>
    </row>
    <row r="985" spans="6:13" x14ac:dyDescent="0.35">
      <c r="F985" s="483">
        <v>43344</v>
      </c>
      <c r="G985">
        <f t="shared" si="15"/>
        <v>2018</v>
      </c>
      <c r="H985" t="s">
        <v>1898</v>
      </c>
      <c r="I985" t="s">
        <v>881</v>
      </c>
      <c r="J985" t="s">
        <v>38</v>
      </c>
      <c r="K985" t="s">
        <v>882</v>
      </c>
      <c r="L985" t="s">
        <v>2125</v>
      </c>
      <c r="M985">
        <v>6165</v>
      </c>
    </row>
    <row r="986" spans="6:13" x14ac:dyDescent="0.35">
      <c r="F986" s="483">
        <v>43272</v>
      </c>
      <c r="G986">
        <f t="shared" si="15"/>
        <v>2018</v>
      </c>
      <c r="H986" t="s">
        <v>1899</v>
      </c>
      <c r="I986" t="s">
        <v>881</v>
      </c>
      <c r="J986" t="s">
        <v>26</v>
      </c>
      <c r="K986" t="s">
        <v>890</v>
      </c>
      <c r="L986" t="s">
        <v>2133</v>
      </c>
      <c r="M986">
        <v>1541</v>
      </c>
    </row>
    <row r="987" spans="6:13" x14ac:dyDescent="0.35">
      <c r="F987" s="483">
        <v>43232</v>
      </c>
      <c r="G987">
        <f t="shared" si="15"/>
        <v>2018</v>
      </c>
      <c r="H987" t="s">
        <v>1900</v>
      </c>
      <c r="I987" t="s">
        <v>881</v>
      </c>
      <c r="J987" t="s">
        <v>36</v>
      </c>
      <c r="K987" t="s">
        <v>907</v>
      </c>
      <c r="L987" t="s">
        <v>2129</v>
      </c>
      <c r="M987">
        <v>2633</v>
      </c>
    </row>
    <row r="988" spans="6:13" x14ac:dyDescent="0.35">
      <c r="F988" s="483">
        <v>42879</v>
      </c>
      <c r="G988">
        <f t="shared" si="15"/>
        <v>2017</v>
      </c>
      <c r="H988" t="s">
        <v>1901</v>
      </c>
      <c r="I988" t="s">
        <v>881</v>
      </c>
      <c r="J988" t="s">
        <v>29</v>
      </c>
      <c r="K988" t="s">
        <v>907</v>
      </c>
      <c r="L988" t="s">
        <v>2126</v>
      </c>
      <c r="M988">
        <v>1294</v>
      </c>
    </row>
    <row r="989" spans="6:13" x14ac:dyDescent="0.35">
      <c r="F989" s="483">
        <v>43256</v>
      </c>
      <c r="G989">
        <f t="shared" si="15"/>
        <v>2018</v>
      </c>
      <c r="H989" t="s">
        <v>1902</v>
      </c>
      <c r="I989" t="s">
        <v>982</v>
      </c>
      <c r="J989" t="s">
        <v>33</v>
      </c>
      <c r="K989" t="s">
        <v>2123</v>
      </c>
      <c r="L989" t="s">
        <v>2132</v>
      </c>
      <c r="M989">
        <v>7800</v>
      </c>
    </row>
    <row r="990" spans="6:13" x14ac:dyDescent="0.35">
      <c r="F990" s="483">
        <v>43160</v>
      </c>
      <c r="G990">
        <f t="shared" si="15"/>
        <v>2018</v>
      </c>
      <c r="H990" t="s">
        <v>1903</v>
      </c>
      <c r="I990" t="s">
        <v>1210</v>
      </c>
      <c r="J990" t="s">
        <v>38</v>
      </c>
      <c r="K990" t="s">
        <v>907</v>
      </c>
      <c r="L990" t="s">
        <v>2131</v>
      </c>
      <c r="M990">
        <v>3672</v>
      </c>
    </row>
    <row r="991" spans="6:13" x14ac:dyDescent="0.35">
      <c r="F991" s="483">
        <v>42991</v>
      </c>
      <c r="G991">
        <f t="shared" si="15"/>
        <v>2017</v>
      </c>
      <c r="H991" t="s">
        <v>1904</v>
      </c>
      <c r="I991" t="s">
        <v>881</v>
      </c>
      <c r="J991" t="s">
        <v>34</v>
      </c>
      <c r="K991" t="s">
        <v>2123</v>
      </c>
      <c r="L991" t="s">
        <v>2126</v>
      </c>
      <c r="M991">
        <v>7899</v>
      </c>
    </row>
    <row r="992" spans="6:13" x14ac:dyDescent="0.35">
      <c r="F992" s="483">
        <v>42859</v>
      </c>
      <c r="G992">
        <f t="shared" si="15"/>
        <v>2017</v>
      </c>
      <c r="H992" t="s">
        <v>1905</v>
      </c>
      <c r="I992" t="s">
        <v>967</v>
      </c>
      <c r="J992" t="s">
        <v>34</v>
      </c>
      <c r="K992" t="s">
        <v>907</v>
      </c>
      <c r="L992" t="s">
        <v>2131</v>
      </c>
      <c r="M992">
        <v>1498</v>
      </c>
    </row>
    <row r="993" spans="6:13" x14ac:dyDescent="0.35">
      <c r="F993" s="483">
        <v>42955</v>
      </c>
      <c r="G993">
        <f t="shared" si="15"/>
        <v>2017</v>
      </c>
      <c r="H993" t="s">
        <v>1906</v>
      </c>
      <c r="I993" t="s">
        <v>881</v>
      </c>
      <c r="J993" t="s">
        <v>33</v>
      </c>
      <c r="K993" t="s">
        <v>882</v>
      </c>
      <c r="L993" t="s">
        <v>2129</v>
      </c>
      <c r="M993">
        <v>1108</v>
      </c>
    </row>
    <row r="994" spans="6:13" x14ac:dyDescent="0.35">
      <c r="F994" s="483">
        <v>42852</v>
      </c>
      <c r="G994">
        <f t="shared" si="15"/>
        <v>2017</v>
      </c>
      <c r="H994" t="s">
        <v>1907</v>
      </c>
      <c r="I994" t="s">
        <v>881</v>
      </c>
      <c r="J994" t="s">
        <v>23</v>
      </c>
      <c r="K994" t="s">
        <v>907</v>
      </c>
      <c r="L994" t="s">
        <v>2132</v>
      </c>
      <c r="M994">
        <v>2757</v>
      </c>
    </row>
    <row r="995" spans="6:13" x14ac:dyDescent="0.35">
      <c r="F995" s="483">
        <v>43214</v>
      </c>
      <c r="G995">
        <f t="shared" si="15"/>
        <v>2018</v>
      </c>
      <c r="H995" t="s">
        <v>1908</v>
      </c>
      <c r="I995" t="s">
        <v>881</v>
      </c>
      <c r="J995" t="s">
        <v>31</v>
      </c>
      <c r="K995" t="s">
        <v>890</v>
      </c>
      <c r="L995" t="s">
        <v>2128</v>
      </c>
      <c r="M995">
        <v>7859</v>
      </c>
    </row>
    <row r="996" spans="6:13" x14ac:dyDescent="0.35">
      <c r="F996" s="483">
        <v>43251</v>
      </c>
      <c r="G996">
        <f t="shared" si="15"/>
        <v>2018</v>
      </c>
      <c r="H996" t="s">
        <v>1909</v>
      </c>
      <c r="I996" t="s">
        <v>881</v>
      </c>
      <c r="J996" t="s">
        <v>38</v>
      </c>
      <c r="K996" t="s">
        <v>907</v>
      </c>
      <c r="L996" t="s">
        <v>2129</v>
      </c>
      <c r="M996">
        <v>6963</v>
      </c>
    </row>
    <row r="997" spans="6:13" x14ac:dyDescent="0.35">
      <c r="F997" s="483">
        <v>43119</v>
      </c>
      <c r="G997">
        <f t="shared" si="15"/>
        <v>2018</v>
      </c>
      <c r="H997" t="s">
        <v>1910</v>
      </c>
      <c r="I997" t="s">
        <v>987</v>
      </c>
      <c r="J997" t="s">
        <v>35</v>
      </c>
      <c r="K997" t="s">
        <v>907</v>
      </c>
      <c r="L997" t="s">
        <v>2130</v>
      </c>
      <c r="M997">
        <v>6406</v>
      </c>
    </row>
    <row r="998" spans="6:13" x14ac:dyDescent="0.35">
      <c r="F998" s="483">
        <v>42814</v>
      </c>
      <c r="G998">
        <f t="shared" si="15"/>
        <v>2017</v>
      </c>
      <c r="H998" t="s">
        <v>1911</v>
      </c>
      <c r="I998" t="s">
        <v>881</v>
      </c>
      <c r="J998" t="s">
        <v>24</v>
      </c>
      <c r="K998" t="s">
        <v>2123</v>
      </c>
      <c r="L998" t="s">
        <v>2127</v>
      </c>
      <c r="M998">
        <v>2713</v>
      </c>
    </row>
    <row r="999" spans="6:13" x14ac:dyDescent="0.35">
      <c r="F999" s="483">
        <v>42966</v>
      </c>
      <c r="G999">
        <f t="shared" si="15"/>
        <v>2017</v>
      </c>
      <c r="H999" t="s">
        <v>1912</v>
      </c>
      <c r="I999" t="s">
        <v>881</v>
      </c>
      <c r="J999" t="s">
        <v>26</v>
      </c>
      <c r="K999" t="s">
        <v>890</v>
      </c>
      <c r="L999" t="s">
        <v>2125</v>
      </c>
      <c r="M999">
        <v>6602</v>
      </c>
    </row>
    <row r="1000" spans="6:13" x14ac:dyDescent="0.35">
      <c r="F1000" s="483">
        <v>43065</v>
      </c>
      <c r="G1000">
        <f t="shared" si="15"/>
        <v>2017</v>
      </c>
      <c r="H1000" t="s">
        <v>1913</v>
      </c>
      <c r="I1000" t="s">
        <v>1018</v>
      </c>
      <c r="J1000" t="s">
        <v>36</v>
      </c>
      <c r="K1000" t="s">
        <v>2123</v>
      </c>
      <c r="L1000" t="s">
        <v>2129</v>
      </c>
      <c r="M1000">
        <v>6767</v>
      </c>
    </row>
    <row r="1001" spans="6:13" x14ac:dyDescent="0.35">
      <c r="F1001" s="483">
        <v>43459</v>
      </c>
      <c r="G1001">
        <f t="shared" si="15"/>
        <v>2018</v>
      </c>
      <c r="H1001" t="s">
        <v>1914</v>
      </c>
      <c r="I1001" t="s">
        <v>881</v>
      </c>
      <c r="J1001" t="s">
        <v>31</v>
      </c>
      <c r="K1001" t="s">
        <v>2123</v>
      </c>
      <c r="L1001" t="s">
        <v>2130</v>
      </c>
      <c r="M1001">
        <v>4756</v>
      </c>
    </row>
    <row r="1002" spans="6:13" x14ac:dyDescent="0.35">
      <c r="F1002" s="483">
        <v>42833</v>
      </c>
      <c r="G1002">
        <f t="shared" si="15"/>
        <v>2017</v>
      </c>
      <c r="H1002" t="s">
        <v>1915</v>
      </c>
      <c r="I1002" t="s">
        <v>881</v>
      </c>
      <c r="J1002" t="s">
        <v>33</v>
      </c>
      <c r="K1002" t="s">
        <v>2123</v>
      </c>
      <c r="L1002" t="s">
        <v>2132</v>
      </c>
      <c r="M1002">
        <v>2617</v>
      </c>
    </row>
    <row r="1003" spans="6:13" x14ac:dyDescent="0.35">
      <c r="F1003" s="483">
        <v>42944</v>
      </c>
      <c r="G1003">
        <f t="shared" si="15"/>
        <v>2017</v>
      </c>
      <c r="H1003" t="s">
        <v>1916</v>
      </c>
      <c r="I1003" t="s">
        <v>881</v>
      </c>
      <c r="J1003" t="s">
        <v>24</v>
      </c>
      <c r="K1003" t="s">
        <v>907</v>
      </c>
      <c r="L1003" t="s">
        <v>2130</v>
      </c>
      <c r="M1003">
        <v>7460</v>
      </c>
    </row>
    <row r="1004" spans="6:13" x14ac:dyDescent="0.35">
      <c r="F1004" s="483">
        <v>43133</v>
      </c>
      <c r="G1004">
        <f t="shared" si="15"/>
        <v>2018</v>
      </c>
      <c r="H1004" t="s">
        <v>1917</v>
      </c>
      <c r="I1004" t="s">
        <v>925</v>
      </c>
      <c r="J1004" t="s">
        <v>31</v>
      </c>
      <c r="K1004" t="s">
        <v>907</v>
      </c>
      <c r="L1004" t="s">
        <v>2133</v>
      </c>
      <c r="M1004">
        <v>5502</v>
      </c>
    </row>
    <row r="1005" spans="6:13" x14ac:dyDescent="0.35">
      <c r="F1005" s="483">
        <v>42840</v>
      </c>
      <c r="G1005">
        <f t="shared" si="15"/>
        <v>2017</v>
      </c>
      <c r="H1005" t="s">
        <v>1918</v>
      </c>
      <c r="I1005" t="s">
        <v>881</v>
      </c>
      <c r="J1005" t="s">
        <v>23</v>
      </c>
      <c r="K1005" t="s">
        <v>882</v>
      </c>
      <c r="L1005" t="s">
        <v>2131</v>
      </c>
      <c r="M1005">
        <v>2537</v>
      </c>
    </row>
    <row r="1006" spans="6:13" x14ac:dyDescent="0.35">
      <c r="F1006" s="483">
        <v>43260</v>
      </c>
      <c r="G1006">
        <f t="shared" si="15"/>
        <v>2018</v>
      </c>
      <c r="H1006" t="s">
        <v>1919</v>
      </c>
      <c r="I1006" t="s">
        <v>881</v>
      </c>
      <c r="J1006" t="s">
        <v>36</v>
      </c>
      <c r="K1006" t="s">
        <v>2123</v>
      </c>
      <c r="L1006" t="s">
        <v>2129</v>
      </c>
      <c r="M1006">
        <v>1871</v>
      </c>
    </row>
    <row r="1007" spans="6:13" x14ac:dyDescent="0.35">
      <c r="F1007" s="483">
        <v>42897</v>
      </c>
      <c r="G1007">
        <f t="shared" si="15"/>
        <v>2017</v>
      </c>
      <c r="H1007" t="s">
        <v>1920</v>
      </c>
      <c r="I1007" t="s">
        <v>881</v>
      </c>
      <c r="J1007" t="s">
        <v>30</v>
      </c>
      <c r="K1007" t="s">
        <v>882</v>
      </c>
      <c r="L1007" t="s">
        <v>2128</v>
      </c>
      <c r="M1007">
        <v>3012</v>
      </c>
    </row>
    <row r="1008" spans="6:13" x14ac:dyDescent="0.35">
      <c r="F1008" s="483">
        <v>43214</v>
      </c>
      <c r="G1008">
        <f t="shared" si="15"/>
        <v>2018</v>
      </c>
      <c r="H1008" t="s">
        <v>1921</v>
      </c>
      <c r="I1008" t="s">
        <v>881</v>
      </c>
      <c r="J1008" t="s">
        <v>37</v>
      </c>
      <c r="K1008" t="s">
        <v>907</v>
      </c>
      <c r="L1008" t="s">
        <v>2127</v>
      </c>
      <c r="M1008">
        <v>4123</v>
      </c>
    </row>
    <row r="1009" spans="6:13" x14ac:dyDescent="0.35">
      <c r="F1009" s="483">
        <v>42830</v>
      </c>
      <c r="G1009">
        <f t="shared" si="15"/>
        <v>2017</v>
      </c>
      <c r="H1009" t="s">
        <v>1922</v>
      </c>
      <c r="I1009" t="s">
        <v>881</v>
      </c>
      <c r="J1009" t="s">
        <v>35</v>
      </c>
      <c r="K1009" t="s">
        <v>890</v>
      </c>
      <c r="L1009" t="s">
        <v>2131</v>
      </c>
      <c r="M1009">
        <v>5622</v>
      </c>
    </row>
    <row r="1010" spans="6:13" x14ac:dyDescent="0.35">
      <c r="F1010" s="483">
        <v>43410</v>
      </c>
      <c r="G1010">
        <f t="shared" si="15"/>
        <v>2018</v>
      </c>
      <c r="H1010" t="s">
        <v>1923</v>
      </c>
      <c r="I1010" t="s">
        <v>881</v>
      </c>
      <c r="J1010" t="s">
        <v>23</v>
      </c>
      <c r="K1010" t="s">
        <v>2123</v>
      </c>
      <c r="L1010" t="s">
        <v>2125</v>
      </c>
      <c r="M1010">
        <v>8555</v>
      </c>
    </row>
    <row r="1011" spans="6:13" x14ac:dyDescent="0.35">
      <c r="F1011" s="483">
        <v>43460</v>
      </c>
      <c r="G1011">
        <f t="shared" si="15"/>
        <v>2018</v>
      </c>
      <c r="H1011" t="s">
        <v>1924</v>
      </c>
      <c r="I1011" t="s">
        <v>881</v>
      </c>
      <c r="J1011" t="s">
        <v>36</v>
      </c>
      <c r="K1011" t="s">
        <v>882</v>
      </c>
      <c r="L1011" t="s">
        <v>2127</v>
      </c>
      <c r="M1011">
        <v>5928</v>
      </c>
    </row>
    <row r="1012" spans="6:13" x14ac:dyDescent="0.35">
      <c r="F1012" s="483">
        <v>43167</v>
      </c>
      <c r="G1012">
        <f t="shared" si="15"/>
        <v>2018</v>
      </c>
      <c r="H1012" t="s">
        <v>1925</v>
      </c>
      <c r="I1012" t="s">
        <v>1016</v>
      </c>
      <c r="J1012" t="s">
        <v>35</v>
      </c>
      <c r="K1012" t="s">
        <v>882</v>
      </c>
      <c r="L1012" t="s">
        <v>2125</v>
      </c>
      <c r="M1012">
        <v>7755</v>
      </c>
    </row>
    <row r="1013" spans="6:13" x14ac:dyDescent="0.35">
      <c r="F1013" s="483">
        <v>42875</v>
      </c>
      <c r="G1013">
        <f t="shared" si="15"/>
        <v>2017</v>
      </c>
      <c r="H1013" t="s">
        <v>1926</v>
      </c>
      <c r="I1013" t="s">
        <v>881</v>
      </c>
      <c r="J1013" t="s">
        <v>32</v>
      </c>
      <c r="K1013" t="s">
        <v>2123</v>
      </c>
      <c r="L1013" t="s">
        <v>2132</v>
      </c>
      <c r="M1013">
        <v>1398</v>
      </c>
    </row>
    <row r="1014" spans="6:13" x14ac:dyDescent="0.35">
      <c r="F1014" s="483">
        <v>43255</v>
      </c>
      <c r="G1014">
        <f t="shared" si="15"/>
        <v>2018</v>
      </c>
      <c r="H1014" t="s">
        <v>1927</v>
      </c>
      <c r="I1014" t="s">
        <v>881</v>
      </c>
      <c r="J1014" t="s">
        <v>31</v>
      </c>
      <c r="K1014" t="s">
        <v>907</v>
      </c>
      <c r="L1014" t="s">
        <v>2126</v>
      </c>
      <c r="M1014">
        <v>8996</v>
      </c>
    </row>
    <row r="1015" spans="6:13" x14ac:dyDescent="0.35">
      <c r="F1015" s="483">
        <v>42851</v>
      </c>
      <c r="G1015">
        <f t="shared" si="15"/>
        <v>2017</v>
      </c>
      <c r="H1015" t="s">
        <v>1928</v>
      </c>
      <c r="I1015" t="s">
        <v>881</v>
      </c>
      <c r="J1015" t="s">
        <v>30</v>
      </c>
      <c r="K1015" t="s">
        <v>890</v>
      </c>
      <c r="L1015" t="s">
        <v>2124</v>
      </c>
      <c r="M1015">
        <v>5322</v>
      </c>
    </row>
    <row r="1016" spans="6:13" x14ac:dyDescent="0.35">
      <c r="F1016" s="483">
        <v>43101</v>
      </c>
      <c r="G1016">
        <f t="shared" si="15"/>
        <v>2018</v>
      </c>
      <c r="H1016" t="s">
        <v>1929</v>
      </c>
      <c r="I1016" t="s">
        <v>885</v>
      </c>
      <c r="J1016" t="s">
        <v>32</v>
      </c>
      <c r="K1016" t="s">
        <v>907</v>
      </c>
      <c r="L1016" t="s">
        <v>2132</v>
      </c>
      <c r="M1016">
        <v>2575</v>
      </c>
    </row>
    <row r="1017" spans="6:13" x14ac:dyDescent="0.35">
      <c r="F1017" s="483">
        <v>43300</v>
      </c>
      <c r="G1017">
        <f t="shared" si="15"/>
        <v>2018</v>
      </c>
      <c r="H1017" t="s">
        <v>1930</v>
      </c>
      <c r="I1017" t="s">
        <v>881</v>
      </c>
      <c r="J1017" t="s">
        <v>23</v>
      </c>
      <c r="K1017" t="s">
        <v>890</v>
      </c>
      <c r="L1017" t="s">
        <v>2126</v>
      </c>
      <c r="M1017">
        <v>6970</v>
      </c>
    </row>
    <row r="1018" spans="6:13" x14ac:dyDescent="0.35">
      <c r="F1018" s="483">
        <v>43280</v>
      </c>
      <c r="G1018">
        <f t="shared" si="15"/>
        <v>2018</v>
      </c>
      <c r="H1018" t="s">
        <v>1931</v>
      </c>
      <c r="I1018" t="s">
        <v>881</v>
      </c>
      <c r="J1018" t="s">
        <v>31</v>
      </c>
      <c r="K1018" t="s">
        <v>2123</v>
      </c>
      <c r="L1018" t="s">
        <v>2128</v>
      </c>
      <c r="M1018">
        <v>5876</v>
      </c>
    </row>
    <row r="1019" spans="6:13" x14ac:dyDescent="0.35">
      <c r="F1019" s="483">
        <v>43324</v>
      </c>
      <c r="G1019">
        <f t="shared" si="15"/>
        <v>2018</v>
      </c>
      <c r="H1019" t="s">
        <v>1932</v>
      </c>
      <c r="I1019" t="s">
        <v>906</v>
      </c>
      <c r="J1019" t="s">
        <v>24</v>
      </c>
      <c r="K1019" t="s">
        <v>2123</v>
      </c>
      <c r="L1019" t="s">
        <v>2128</v>
      </c>
      <c r="M1019">
        <v>5864</v>
      </c>
    </row>
    <row r="1020" spans="6:13" x14ac:dyDescent="0.35">
      <c r="F1020" s="483">
        <v>43438</v>
      </c>
      <c r="G1020">
        <f t="shared" si="15"/>
        <v>2018</v>
      </c>
      <c r="H1020" t="s">
        <v>1933</v>
      </c>
      <c r="I1020" t="s">
        <v>881</v>
      </c>
      <c r="J1020" t="s">
        <v>38</v>
      </c>
      <c r="K1020" t="s">
        <v>2123</v>
      </c>
      <c r="L1020" t="s">
        <v>2131</v>
      </c>
      <c r="M1020">
        <v>5291</v>
      </c>
    </row>
    <row r="1021" spans="6:13" x14ac:dyDescent="0.35">
      <c r="F1021" s="483">
        <v>43153</v>
      </c>
      <c r="G1021">
        <f t="shared" si="15"/>
        <v>2018</v>
      </c>
      <c r="H1021" t="s">
        <v>1934</v>
      </c>
      <c r="I1021" t="s">
        <v>881</v>
      </c>
      <c r="J1021" t="s">
        <v>24</v>
      </c>
      <c r="K1021" t="s">
        <v>2123</v>
      </c>
      <c r="L1021" t="s">
        <v>2128</v>
      </c>
      <c r="M1021">
        <v>6644</v>
      </c>
    </row>
    <row r="1022" spans="6:13" x14ac:dyDescent="0.35">
      <c r="F1022" s="483">
        <v>42941</v>
      </c>
      <c r="G1022">
        <f t="shared" si="15"/>
        <v>2017</v>
      </c>
      <c r="H1022" t="s">
        <v>1935</v>
      </c>
      <c r="I1022" t="s">
        <v>881</v>
      </c>
      <c r="J1022" t="s">
        <v>23</v>
      </c>
      <c r="K1022" t="s">
        <v>882</v>
      </c>
      <c r="L1022" t="s">
        <v>2125</v>
      </c>
      <c r="M1022">
        <v>8281</v>
      </c>
    </row>
    <row r="1023" spans="6:13" x14ac:dyDescent="0.35">
      <c r="F1023" s="483">
        <v>42836</v>
      </c>
      <c r="G1023">
        <f t="shared" si="15"/>
        <v>2017</v>
      </c>
      <c r="H1023" t="s">
        <v>1936</v>
      </c>
      <c r="I1023" t="s">
        <v>881</v>
      </c>
      <c r="J1023" t="s">
        <v>24</v>
      </c>
      <c r="K1023" t="s">
        <v>907</v>
      </c>
      <c r="L1023" t="s">
        <v>2128</v>
      </c>
      <c r="M1023">
        <v>6015</v>
      </c>
    </row>
    <row r="1024" spans="6:13" x14ac:dyDescent="0.35">
      <c r="F1024" s="483">
        <v>43074</v>
      </c>
      <c r="G1024">
        <f t="shared" si="15"/>
        <v>2017</v>
      </c>
      <c r="H1024" t="s">
        <v>1937</v>
      </c>
      <c r="I1024" t="s">
        <v>885</v>
      </c>
      <c r="J1024" t="s">
        <v>36</v>
      </c>
      <c r="K1024" t="s">
        <v>907</v>
      </c>
      <c r="L1024" t="s">
        <v>2128</v>
      </c>
      <c r="M1024">
        <v>6994</v>
      </c>
    </row>
    <row r="1025" spans="6:13" x14ac:dyDescent="0.35">
      <c r="F1025" s="483">
        <v>43182</v>
      </c>
      <c r="G1025">
        <f t="shared" si="15"/>
        <v>2018</v>
      </c>
      <c r="H1025" t="s">
        <v>1938</v>
      </c>
      <c r="I1025" t="s">
        <v>881</v>
      </c>
      <c r="J1025" t="s">
        <v>31</v>
      </c>
      <c r="K1025" t="s">
        <v>907</v>
      </c>
      <c r="L1025" t="s">
        <v>2128</v>
      </c>
      <c r="M1025">
        <v>6105</v>
      </c>
    </row>
    <row r="1026" spans="6:13" x14ac:dyDescent="0.35">
      <c r="F1026" s="483">
        <v>43432</v>
      </c>
      <c r="G1026">
        <f t="shared" si="15"/>
        <v>2018</v>
      </c>
      <c r="H1026" t="s">
        <v>1939</v>
      </c>
      <c r="I1026" t="s">
        <v>881</v>
      </c>
      <c r="J1026" t="s">
        <v>29</v>
      </c>
      <c r="K1026" t="s">
        <v>2123</v>
      </c>
      <c r="L1026" t="s">
        <v>2126</v>
      </c>
      <c r="M1026">
        <v>1674</v>
      </c>
    </row>
    <row r="1027" spans="6:13" x14ac:dyDescent="0.35">
      <c r="F1027" s="483">
        <v>42835</v>
      </c>
      <c r="G1027">
        <f t="shared" si="15"/>
        <v>2017</v>
      </c>
      <c r="H1027" t="s">
        <v>1940</v>
      </c>
      <c r="I1027" t="s">
        <v>881</v>
      </c>
      <c r="J1027" t="s">
        <v>31</v>
      </c>
      <c r="K1027" t="s">
        <v>882</v>
      </c>
      <c r="L1027" t="s">
        <v>2125</v>
      </c>
      <c r="M1027">
        <v>7861</v>
      </c>
    </row>
    <row r="1028" spans="6:13" x14ac:dyDescent="0.35">
      <c r="F1028" s="483">
        <v>42795</v>
      </c>
      <c r="G1028">
        <f t="shared" si="15"/>
        <v>2017</v>
      </c>
      <c r="H1028" t="s">
        <v>1941</v>
      </c>
      <c r="I1028" t="s">
        <v>881</v>
      </c>
      <c r="J1028" t="s">
        <v>37</v>
      </c>
      <c r="K1028" t="s">
        <v>882</v>
      </c>
      <c r="L1028" t="s">
        <v>2128</v>
      </c>
      <c r="M1028">
        <v>2369</v>
      </c>
    </row>
    <row r="1029" spans="6:13" x14ac:dyDescent="0.35">
      <c r="F1029" s="483">
        <v>43076</v>
      </c>
      <c r="G1029">
        <f t="shared" si="15"/>
        <v>2017</v>
      </c>
      <c r="H1029" t="s">
        <v>1942</v>
      </c>
      <c r="I1029" t="s">
        <v>881</v>
      </c>
      <c r="J1029" t="s">
        <v>26</v>
      </c>
      <c r="K1029" t="s">
        <v>2123</v>
      </c>
      <c r="L1029" t="s">
        <v>2131</v>
      </c>
      <c r="M1029">
        <v>7608</v>
      </c>
    </row>
    <row r="1030" spans="6:13" x14ac:dyDescent="0.35">
      <c r="F1030" s="483">
        <v>43032</v>
      </c>
      <c r="G1030">
        <f t="shared" si="15"/>
        <v>2017</v>
      </c>
      <c r="H1030" t="s">
        <v>1943</v>
      </c>
      <c r="I1030" t="s">
        <v>881</v>
      </c>
      <c r="J1030" t="s">
        <v>38</v>
      </c>
      <c r="K1030" t="s">
        <v>890</v>
      </c>
      <c r="L1030" t="s">
        <v>2127</v>
      </c>
      <c r="M1030">
        <v>1993</v>
      </c>
    </row>
    <row r="1031" spans="6:13" x14ac:dyDescent="0.35">
      <c r="F1031" s="483">
        <v>43161</v>
      </c>
      <c r="G1031">
        <f t="shared" si="15"/>
        <v>2018</v>
      </c>
      <c r="H1031" t="s">
        <v>1944</v>
      </c>
      <c r="I1031" t="s">
        <v>932</v>
      </c>
      <c r="J1031" t="s">
        <v>23</v>
      </c>
      <c r="K1031" t="s">
        <v>907</v>
      </c>
      <c r="L1031" t="s">
        <v>2131</v>
      </c>
      <c r="M1031">
        <v>4437</v>
      </c>
    </row>
    <row r="1032" spans="6:13" x14ac:dyDescent="0.35">
      <c r="F1032" s="483">
        <v>42772</v>
      </c>
      <c r="G1032">
        <f t="shared" si="15"/>
        <v>2017</v>
      </c>
      <c r="H1032" t="s">
        <v>1945</v>
      </c>
      <c r="I1032" t="s">
        <v>881</v>
      </c>
      <c r="J1032" t="s">
        <v>38</v>
      </c>
      <c r="K1032" t="s">
        <v>907</v>
      </c>
      <c r="L1032" t="s">
        <v>2132</v>
      </c>
      <c r="M1032">
        <v>1038</v>
      </c>
    </row>
    <row r="1033" spans="6:13" x14ac:dyDescent="0.35">
      <c r="F1033" s="483">
        <v>43256</v>
      </c>
      <c r="G1033">
        <f t="shared" si="15"/>
        <v>2018</v>
      </c>
      <c r="H1033" t="s">
        <v>1946</v>
      </c>
      <c r="I1033" t="s">
        <v>881</v>
      </c>
      <c r="J1033" t="s">
        <v>33</v>
      </c>
      <c r="K1033" t="s">
        <v>907</v>
      </c>
      <c r="L1033" t="s">
        <v>2131</v>
      </c>
      <c r="M1033">
        <v>2639</v>
      </c>
    </row>
    <row r="1034" spans="6:13" x14ac:dyDescent="0.35">
      <c r="F1034" s="483">
        <v>43100</v>
      </c>
      <c r="G1034">
        <f t="shared" ref="G1034:G1097" si="16">YEAR(F1034)</f>
        <v>2017</v>
      </c>
      <c r="H1034" t="s">
        <v>1947</v>
      </c>
      <c r="I1034" t="s">
        <v>881</v>
      </c>
      <c r="J1034" t="s">
        <v>37</v>
      </c>
      <c r="K1034" t="s">
        <v>2123</v>
      </c>
      <c r="L1034" t="s">
        <v>2124</v>
      </c>
      <c r="M1034">
        <v>1157</v>
      </c>
    </row>
    <row r="1035" spans="6:13" x14ac:dyDescent="0.35">
      <c r="F1035" s="483">
        <v>43302</v>
      </c>
      <c r="G1035">
        <f t="shared" si="16"/>
        <v>2018</v>
      </c>
      <c r="H1035" t="s">
        <v>1948</v>
      </c>
      <c r="I1035" t="s">
        <v>881</v>
      </c>
      <c r="J1035" t="s">
        <v>38</v>
      </c>
      <c r="K1035" t="s">
        <v>890</v>
      </c>
      <c r="L1035" t="s">
        <v>2127</v>
      </c>
      <c r="M1035">
        <v>2236</v>
      </c>
    </row>
    <row r="1036" spans="6:13" x14ac:dyDescent="0.35">
      <c r="F1036" s="483">
        <v>43262</v>
      </c>
      <c r="G1036">
        <f t="shared" si="16"/>
        <v>2018</v>
      </c>
      <c r="H1036" t="s">
        <v>1949</v>
      </c>
      <c r="I1036" t="s">
        <v>881</v>
      </c>
      <c r="J1036" t="s">
        <v>31</v>
      </c>
      <c r="K1036" t="s">
        <v>882</v>
      </c>
      <c r="L1036" t="s">
        <v>2129</v>
      </c>
      <c r="M1036">
        <v>2159</v>
      </c>
    </row>
    <row r="1037" spans="6:13" x14ac:dyDescent="0.35">
      <c r="F1037" s="483">
        <v>42926</v>
      </c>
      <c r="G1037">
        <f t="shared" si="16"/>
        <v>2017</v>
      </c>
      <c r="H1037" t="s">
        <v>1950</v>
      </c>
      <c r="I1037" t="s">
        <v>906</v>
      </c>
      <c r="J1037" t="s">
        <v>32</v>
      </c>
      <c r="K1037" t="s">
        <v>890</v>
      </c>
      <c r="L1037" t="s">
        <v>2125</v>
      </c>
      <c r="M1037">
        <v>4029</v>
      </c>
    </row>
    <row r="1038" spans="6:13" x14ac:dyDescent="0.35">
      <c r="F1038" s="483">
        <v>43100</v>
      </c>
      <c r="G1038">
        <f t="shared" si="16"/>
        <v>2017</v>
      </c>
      <c r="H1038" t="s">
        <v>1951</v>
      </c>
      <c r="I1038" t="s">
        <v>881</v>
      </c>
      <c r="J1038" t="s">
        <v>29</v>
      </c>
      <c r="K1038" t="s">
        <v>2123</v>
      </c>
      <c r="L1038" t="s">
        <v>2133</v>
      </c>
      <c r="M1038">
        <v>3502</v>
      </c>
    </row>
    <row r="1039" spans="6:13" x14ac:dyDescent="0.35">
      <c r="F1039" s="483">
        <v>42913</v>
      </c>
      <c r="G1039">
        <f t="shared" si="16"/>
        <v>2017</v>
      </c>
      <c r="H1039" t="s">
        <v>1952</v>
      </c>
      <c r="I1039" t="s">
        <v>893</v>
      </c>
      <c r="J1039" t="s">
        <v>30</v>
      </c>
      <c r="K1039" t="s">
        <v>890</v>
      </c>
      <c r="L1039" t="s">
        <v>2132</v>
      </c>
      <c r="M1039">
        <v>5355</v>
      </c>
    </row>
    <row r="1040" spans="6:13" x14ac:dyDescent="0.35">
      <c r="F1040" s="483">
        <v>43074</v>
      </c>
      <c r="G1040">
        <f t="shared" si="16"/>
        <v>2017</v>
      </c>
      <c r="H1040" t="s">
        <v>1953</v>
      </c>
      <c r="I1040" t="s">
        <v>881</v>
      </c>
      <c r="J1040" t="s">
        <v>31</v>
      </c>
      <c r="K1040" t="s">
        <v>2123</v>
      </c>
      <c r="L1040" t="s">
        <v>2125</v>
      </c>
      <c r="M1040">
        <v>5425</v>
      </c>
    </row>
    <row r="1041" spans="6:13" x14ac:dyDescent="0.35">
      <c r="F1041" s="483">
        <v>43427</v>
      </c>
      <c r="G1041">
        <f t="shared" si="16"/>
        <v>2018</v>
      </c>
      <c r="H1041" t="s">
        <v>1954</v>
      </c>
      <c r="I1041" t="s">
        <v>881</v>
      </c>
      <c r="J1041" t="s">
        <v>32</v>
      </c>
      <c r="K1041" t="s">
        <v>890</v>
      </c>
      <c r="L1041" t="s">
        <v>2129</v>
      </c>
      <c r="M1041">
        <v>6785</v>
      </c>
    </row>
    <row r="1042" spans="6:13" x14ac:dyDescent="0.35">
      <c r="F1042" s="483">
        <v>43198</v>
      </c>
      <c r="G1042">
        <f t="shared" si="16"/>
        <v>2018</v>
      </c>
      <c r="H1042" t="s">
        <v>1955</v>
      </c>
      <c r="I1042" t="s">
        <v>881</v>
      </c>
      <c r="J1042" t="s">
        <v>32</v>
      </c>
      <c r="K1042" t="s">
        <v>882</v>
      </c>
      <c r="L1042" t="s">
        <v>2133</v>
      </c>
      <c r="M1042">
        <v>8992</v>
      </c>
    </row>
    <row r="1043" spans="6:13" x14ac:dyDescent="0.35">
      <c r="F1043" s="483">
        <v>42861</v>
      </c>
      <c r="G1043">
        <f t="shared" si="16"/>
        <v>2017</v>
      </c>
      <c r="H1043" t="s">
        <v>1956</v>
      </c>
      <c r="I1043" t="s">
        <v>1022</v>
      </c>
      <c r="J1043" t="s">
        <v>28</v>
      </c>
      <c r="K1043" t="s">
        <v>890</v>
      </c>
      <c r="L1043" t="s">
        <v>2124</v>
      </c>
      <c r="M1043">
        <v>7023</v>
      </c>
    </row>
    <row r="1044" spans="6:13" x14ac:dyDescent="0.35">
      <c r="F1044" s="483">
        <v>42852</v>
      </c>
      <c r="G1044">
        <f t="shared" si="16"/>
        <v>2017</v>
      </c>
      <c r="H1044" t="s">
        <v>1957</v>
      </c>
      <c r="I1044" t="s">
        <v>1210</v>
      </c>
      <c r="J1044" t="s">
        <v>26</v>
      </c>
      <c r="K1044" t="s">
        <v>882</v>
      </c>
      <c r="L1044" t="s">
        <v>2128</v>
      </c>
      <c r="M1044">
        <v>3709</v>
      </c>
    </row>
    <row r="1045" spans="6:13" x14ac:dyDescent="0.35">
      <c r="F1045" s="483">
        <v>42909</v>
      </c>
      <c r="G1045">
        <f t="shared" si="16"/>
        <v>2017</v>
      </c>
      <c r="H1045" t="s">
        <v>1958</v>
      </c>
      <c r="I1045" t="s">
        <v>881</v>
      </c>
      <c r="J1045" t="s">
        <v>35</v>
      </c>
      <c r="K1045" t="s">
        <v>890</v>
      </c>
      <c r="L1045" t="s">
        <v>2129</v>
      </c>
      <c r="M1045">
        <v>2568</v>
      </c>
    </row>
    <row r="1046" spans="6:13" x14ac:dyDescent="0.35">
      <c r="F1046" s="483">
        <v>42956</v>
      </c>
      <c r="G1046">
        <f t="shared" si="16"/>
        <v>2017</v>
      </c>
      <c r="H1046" t="s">
        <v>1959</v>
      </c>
      <c r="I1046" t="s">
        <v>885</v>
      </c>
      <c r="J1046" t="s">
        <v>36</v>
      </c>
      <c r="K1046" t="s">
        <v>907</v>
      </c>
      <c r="L1046" t="s">
        <v>2133</v>
      </c>
      <c r="M1046">
        <v>1566</v>
      </c>
    </row>
    <row r="1047" spans="6:13" x14ac:dyDescent="0.35">
      <c r="F1047" s="483">
        <v>43450</v>
      </c>
      <c r="G1047">
        <f t="shared" si="16"/>
        <v>2018</v>
      </c>
      <c r="H1047" t="s">
        <v>1960</v>
      </c>
      <c r="I1047" t="s">
        <v>885</v>
      </c>
      <c r="J1047" t="s">
        <v>35</v>
      </c>
      <c r="K1047" t="s">
        <v>890</v>
      </c>
      <c r="L1047" t="s">
        <v>2133</v>
      </c>
      <c r="M1047">
        <v>4116</v>
      </c>
    </row>
    <row r="1048" spans="6:13" x14ac:dyDescent="0.35">
      <c r="F1048" s="483">
        <v>43122</v>
      </c>
      <c r="G1048">
        <f t="shared" si="16"/>
        <v>2018</v>
      </c>
      <c r="H1048" t="s">
        <v>1961</v>
      </c>
      <c r="I1048" t="s">
        <v>881</v>
      </c>
      <c r="J1048" t="s">
        <v>28</v>
      </c>
      <c r="K1048" t="s">
        <v>882</v>
      </c>
      <c r="L1048" t="s">
        <v>2127</v>
      </c>
      <c r="M1048">
        <v>7472</v>
      </c>
    </row>
    <row r="1049" spans="6:13" x14ac:dyDescent="0.35">
      <c r="F1049" s="483">
        <v>43086</v>
      </c>
      <c r="G1049">
        <f t="shared" si="16"/>
        <v>2017</v>
      </c>
      <c r="H1049" t="s">
        <v>1962</v>
      </c>
      <c r="I1049" t="s">
        <v>885</v>
      </c>
      <c r="J1049" t="s">
        <v>26</v>
      </c>
      <c r="K1049" t="s">
        <v>2123</v>
      </c>
      <c r="L1049" t="s">
        <v>2129</v>
      </c>
      <c r="M1049">
        <v>7217</v>
      </c>
    </row>
    <row r="1050" spans="6:13" x14ac:dyDescent="0.35">
      <c r="F1050" s="483">
        <v>42887</v>
      </c>
      <c r="G1050">
        <f t="shared" si="16"/>
        <v>2017</v>
      </c>
      <c r="H1050" t="s">
        <v>1963</v>
      </c>
      <c r="I1050" t="s">
        <v>881</v>
      </c>
      <c r="J1050" t="s">
        <v>37</v>
      </c>
      <c r="K1050" t="s">
        <v>882</v>
      </c>
      <c r="L1050" t="s">
        <v>2130</v>
      </c>
      <c r="M1050">
        <v>7480</v>
      </c>
    </row>
    <row r="1051" spans="6:13" x14ac:dyDescent="0.35">
      <c r="F1051" s="483">
        <v>43123</v>
      </c>
      <c r="G1051">
        <f t="shared" si="16"/>
        <v>2018</v>
      </c>
      <c r="H1051" t="s">
        <v>1964</v>
      </c>
      <c r="I1051" t="s">
        <v>881</v>
      </c>
      <c r="J1051" t="s">
        <v>35</v>
      </c>
      <c r="K1051" t="s">
        <v>2123</v>
      </c>
      <c r="L1051" t="s">
        <v>2125</v>
      </c>
      <c r="M1051">
        <v>3308</v>
      </c>
    </row>
    <row r="1052" spans="6:13" x14ac:dyDescent="0.35">
      <c r="F1052" s="483">
        <v>42957</v>
      </c>
      <c r="G1052">
        <f t="shared" si="16"/>
        <v>2017</v>
      </c>
      <c r="H1052" t="s">
        <v>1965</v>
      </c>
      <c r="I1052" t="s">
        <v>881</v>
      </c>
      <c r="J1052" t="s">
        <v>38</v>
      </c>
      <c r="K1052" t="s">
        <v>907</v>
      </c>
      <c r="L1052" t="s">
        <v>2126</v>
      </c>
      <c r="M1052">
        <v>8559</v>
      </c>
    </row>
    <row r="1053" spans="6:13" x14ac:dyDescent="0.35">
      <c r="F1053" s="483">
        <v>42933</v>
      </c>
      <c r="G1053">
        <f t="shared" si="16"/>
        <v>2017</v>
      </c>
      <c r="H1053" t="s">
        <v>1966</v>
      </c>
      <c r="I1053" t="s">
        <v>881</v>
      </c>
      <c r="J1053" t="s">
        <v>32</v>
      </c>
      <c r="K1053" t="s">
        <v>882</v>
      </c>
      <c r="L1053" t="s">
        <v>2125</v>
      </c>
      <c r="M1053">
        <v>3073</v>
      </c>
    </row>
    <row r="1054" spans="6:13" x14ac:dyDescent="0.35">
      <c r="F1054" s="483">
        <v>42936</v>
      </c>
      <c r="G1054">
        <f t="shared" si="16"/>
        <v>2017</v>
      </c>
      <c r="H1054" t="s">
        <v>1967</v>
      </c>
      <c r="I1054" t="s">
        <v>885</v>
      </c>
      <c r="J1054" t="s">
        <v>34</v>
      </c>
      <c r="K1054" t="s">
        <v>890</v>
      </c>
      <c r="L1054" t="s">
        <v>2132</v>
      </c>
      <c r="M1054">
        <v>7811</v>
      </c>
    </row>
    <row r="1055" spans="6:13" x14ac:dyDescent="0.35">
      <c r="F1055" s="483">
        <v>43204</v>
      </c>
      <c r="G1055">
        <f t="shared" si="16"/>
        <v>2018</v>
      </c>
      <c r="H1055" t="s">
        <v>1968</v>
      </c>
      <c r="I1055" t="s">
        <v>930</v>
      </c>
      <c r="J1055" t="s">
        <v>23</v>
      </c>
      <c r="K1055" t="s">
        <v>907</v>
      </c>
      <c r="L1055" t="s">
        <v>2132</v>
      </c>
      <c r="M1055">
        <v>3944</v>
      </c>
    </row>
    <row r="1056" spans="6:13" x14ac:dyDescent="0.35">
      <c r="F1056" s="483">
        <v>43345</v>
      </c>
      <c r="G1056">
        <f t="shared" si="16"/>
        <v>2018</v>
      </c>
      <c r="H1056" t="s">
        <v>1969</v>
      </c>
      <c r="I1056" t="s">
        <v>1131</v>
      </c>
      <c r="J1056" t="s">
        <v>38</v>
      </c>
      <c r="K1056" t="s">
        <v>882</v>
      </c>
      <c r="L1056" t="s">
        <v>2127</v>
      </c>
      <c r="M1056">
        <v>1858</v>
      </c>
    </row>
    <row r="1057" spans="6:13" x14ac:dyDescent="0.35">
      <c r="F1057" s="483">
        <v>43284</v>
      </c>
      <c r="G1057">
        <f t="shared" si="16"/>
        <v>2018</v>
      </c>
      <c r="H1057" t="s">
        <v>1970</v>
      </c>
      <c r="I1057" t="s">
        <v>881</v>
      </c>
      <c r="J1057" t="s">
        <v>29</v>
      </c>
      <c r="K1057" t="s">
        <v>907</v>
      </c>
      <c r="L1057" t="s">
        <v>2133</v>
      </c>
      <c r="M1057">
        <v>1241</v>
      </c>
    </row>
    <row r="1058" spans="6:13" x14ac:dyDescent="0.35">
      <c r="F1058" s="483">
        <v>43063</v>
      </c>
      <c r="G1058">
        <f t="shared" si="16"/>
        <v>2017</v>
      </c>
      <c r="H1058" t="s">
        <v>1971</v>
      </c>
      <c r="I1058" t="s">
        <v>885</v>
      </c>
      <c r="J1058" t="s">
        <v>36</v>
      </c>
      <c r="K1058" t="s">
        <v>2123</v>
      </c>
      <c r="L1058" t="s">
        <v>2131</v>
      </c>
      <c r="M1058">
        <v>4558</v>
      </c>
    </row>
    <row r="1059" spans="6:13" x14ac:dyDescent="0.35">
      <c r="F1059" s="483">
        <v>43311</v>
      </c>
      <c r="G1059">
        <f t="shared" si="16"/>
        <v>2018</v>
      </c>
      <c r="H1059" t="s">
        <v>1972</v>
      </c>
      <c r="I1059" t="s">
        <v>967</v>
      </c>
      <c r="J1059" t="s">
        <v>24</v>
      </c>
      <c r="K1059" t="s">
        <v>882</v>
      </c>
      <c r="L1059" t="s">
        <v>2128</v>
      </c>
      <c r="M1059">
        <v>5348</v>
      </c>
    </row>
    <row r="1060" spans="6:13" x14ac:dyDescent="0.35">
      <c r="F1060" s="483">
        <v>43245</v>
      </c>
      <c r="G1060">
        <f t="shared" si="16"/>
        <v>2018</v>
      </c>
      <c r="H1060" t="s">
        <v>1973</v>
      </c>
      <c r="I1060" t="s">
        <v>881</v>
      </c>
      <c r="J1060" t="s">
        <v>32</v>
      </c>
      <c r="K1060" t="s">
        <v>882</v>
      </c>
      <c r="L1060" t="s">
        <v>2131</v>
      </c>
      <c r="M1060">
        <v>1658</v>
      </c>
    </row>
    <row r="1061" spans="6:13" x14ac:dyDescent="0.35">
      <c r="F1061" s="483">
        <v>42776</v>
      </c>
      <c r="G1061">
        <f t="shared" si="16"/>
        <v>2017</v>
      </c>
      <c r="H1061" t="s">
        <v>1974</v>
      </c>
      <c r="I1061" t="s">
        <v>885</v>
      </c>
      <c r="J1061" t="s">
        <v>32</v>
      </c>
      <c r="K1061" t="s">
        <v>890</v>
      </c>
      <c r="L1061" t="s">
        <v>2125</v>
      </c>
      <c r="M1061">
        <v>4898</v>
      </c>
    </row>
    <row r="1062" spans="6:13" x14ac:dyDescent="0.35">
      <c r="F1062" s="483">
        <v>42976</v>
      </c>
      <c r="G1062">
        <f t="shared" si="16"/>
        <v>2017</v>
      </c>
      <c r="H1062" t="s">
        <v>1975</v>
      </c>
      <c r="I1062" t="s">
        <v>885</v>
      </c>
      <c r="J1062" t="s">
        <v>34</v>
      </c>
      <c r="K1062" t="s">
        <v>907</v>
      </c>
      <c r="L1062" t="s">
        <v>2126</v>
      </c>
      <c r="M1062">
        <v>3553</v>
      </c>
    </row>
    <row r="1063" spans="6:13" x14ac:dyDescent="0.35">
      <c r="F1063" s="483">
        <v>43444</v>
      </c>
      <c r="G1063">
        <f t="shared" si="16"/>
        <v>2018</v>
      </c>
      <c r="H1063" t="s">
        <v>1976</v>
      </c>
      <c r="I1063" t="s">
        <v>881</v>
      </c>
      <c r="J1063" t="s">
        <v>35</v>
      </c>
      <c r="K1063" t="s">
        <v>890</v>
      </c>
      <c r="L1063" t="s">
        <v>2125</v>
      </c>
      <c r="M1063">
        <v>4903</v>
      </c>
    </row>
    <row r="1064" spans="6:13" x14ac:dyDescent="0.35">
      <c r="F1064" s="483">
        <v>42960</v>
      </c>
      <c r="G1064">
        <f t="shared" si="16"/>
        <v>2017</v>
      </c>
      <c r="H1064" t="s">
        <v>1977</v>
      </c>
      <c r="I1064" t="s">
        <v>881</v>
      </c>
      <c r="J1064" t="s">
        <v>29</v>
      </c>
      <c r="K1064" t="s">
        <v>907</v>
      </c>
      <c r="L1064" t="s">
        <v>2125</v>
      </c>
      <c r="M1064">
        <v>2554</v>
      </c>
    </row>
    <row r="1065" spans="6:13" x14ac:dyDescent="0.35">
      <c r="F1065" s="483">
        <v>43164</v>
      </c>
      <c r="G1065">
        <f t="shared" si="16"/>
        <v>2018</v>
      </c>
      <c r="H1065" t="s">
        <v>1978</v>
      </c>
      <c r="I1065" t="s">
        <v>881</v>
      </c>
      <c r="J1065" t="s">
        <v>38</v>
      </c>
      <c r="K1065" t="s">
        <v>907</v>
      </c>
      <c r="L1065" t="s">
        <v>2125</v>
      </c>
      <c r="M1065">
        <v>6712</v>
      </c>
    </row>
    <row r="1066" spans="6:13" x14ac:dyDescent="0.35">
      <c r="F1066" s="483">
        <v>42900</v>
      </c>
      <c r="G1066">
        <f t="shared" si="16"/>
        <v>2017</v>
      </c>
      <c r="H1066" t="s">
        <v>1979</v>
      </c>
      <c r="I1066" t="s">
        <v>881</v>
      </c>
      <c r="J1066" t="s">
        <v>28</v>
      </c>
      <c r="K1066" t="s">
        <v>907</v>
      </c>
      <c r="L1066" t="s">
        <v>2124</v>
      </c>
      <c r="M1066">
        <v>5394</v>
      </c>
    </row>
    <row r="1067" spans="6:13" x14ac:dyDescent="0.35">
      <c r="F1067" s="483">
        <v>43112</v>
      </c>
      <c r="G1067">
        <f t="shared" si="16"/>
        <v>2018</v>
      </c>
      <c r="H1067" t="s">
        <v>1980</v>
      </c>
      <c r="I1067" t="s">
        <v>1028</v>
      </c>
      <c r="J1067" t="s">
        <v>33</v>
      </c>
      <c r="K1067" t="s">
        <v>882</v>
      </c>
      <c r="L1067" t="s">
        <v>2130</v>
      </c>
      <c r="M1067">
        <v>3851</v>
      </c>
    </row>
    <row r="1068" spans="6:13" x14ac:dyDescent="0.35">
      <c r="F1068" s="483">
        <v>42850</v>
      </c>
      <c r="G1068">
        <f t="shared" si="16"/>
        <v>2017</v>
      </c>
      <c r="H1068" t="s">
        <v>1981</v>
      </c>
      <c r="I1068" t="s">
        <v>881</v>
      </c>
      <c r="J1068" t="s">
        <v>24</v>
      </c>
      <c r="K1068" t="s">
        <v>907</v>
      </c>
      <c r="L1068" t="s">
        <v>2133</v>
      </c>
      <c r="M1068">
        <v>6980</v>
      </c>
    </row>
    <row r="1069" spans="6:13" x14ac:dyDescent="0.35">
      <c r="F1069" s="483">
        <v>43026</v>
      </c>
      <c r="G1069">
        <f t="shared" si="16"/>
        <v>2017</v>
      </c>
      <c r="H1069" t="s">
        <v>1982</v>
      </c>
      <c r="I1069" t="s">
        <v>881</v>
      </c>
      <c r="J1069" t="s">
        <v>29</v>
      </c>
      <c r="K1069" t="s">
        <v>2123</v>
      </c>
      <c r="L1069" t="s">
        <v>2125</v>
      </c>
      <c r="M1069">
        <v>7922</v>
      </c>
    </row>
    <row r="1070" spans="6:13" x14ac:dyDescent="0.35">
      <c r="F1070" s="483">
        <v>43143</v>
      </c>
      <c r="G1070">
        <f t="shared" si="16"/>
        <v>2018</v>
      </c>
      <c r="H1070" t="s">
        <v>1983</v>
      </c>
      <c r="I1070" t="s">
        <v>881</v>
      </c>
      <c r="J1070" t="s">
        <v>30</v>
      </c>
      <c r="K1070" t="s">
        <v>882</v>
      </c>
      <c r="L1070" t="s">
        <v>2129</v>
      </c>
      <c r="M1070">
        <v>8729</v>
      </c>
    </row>
    <row r="1071" spans="6:13" x14ac:dyDescent="0.35">
      <c r="F1071" s="483">
        <v>43013</v>
      </c>
      <c r="G1071">
        <f t="shared" si="16"/>
        <v>2017</v>
      </c>
      <c r="H1071" t="s">
        <v>1984</v>
      </c>
      <c r="I1071" t="s">
        <v>881</v>
      </c>
      <c r="J1071" t="s">
        <v>29</v>
      </c>
      <c r="K1071" t="s">
        <v>907</v>
      </c>
      <c r="L1071" t="s">
        <v>2124</v>
      </c>
      <c r="M1071">
        <v>5692</v>
      </c>
    </row>
    <row r="1072" spans="6:13" x14ac:dyDescent="0.35">
      <c r="F1072" s="483">
        <v>43399</v>
      </c>
      <c r="G1072">
        <f t="shared" si="16"/>
        <v>2018</v>
      </c>
      <c r="H1072" t="s">
        <v>1985</v>
      </c>
      <c r="I1072" t="s">
        <v>881</v>
      </c>
      <c r="J1072" t="s">
        <v>36</v>
      </c>
      <c r="K1072" t="s">
        <v>882</v>
      </c>
      <c r="L1072" t="s">
        <v>2126</v>
      </c>
      <c r="M1072">
        <v>7093</v>
      </c>
    </row>
    <row r="1073" spans="6:13" x14ac:dyDescent="0.35">
      <c r="F1073" s="483">
        <v>43112</v>
      </c>
      <c r="G1073">
        <f t="shared" si="16"/>
        <v>2018</v>
      </c>
      <c r="H1073" t="s">
        <v>1986</v>
      </c>
      <c r="I1073" t="s">
        <v>881</v>
      </c>
      <c r="J1073" t="s">
        <v>29</v>
      </c>
      <c r="K1073" t="s">
        <v>890</v>
      </c>
      <c r="L1073" t="s">
        <v>2126</v>
      </c>
      <c r="M1073">
        <v>3558</v>
      </c>
    </row>
    <row r="1074" spans="6:13" x14ac:dyDescent="0.35">
      <c r="F1074" s="483">
        <v>43183</v>
      </c>
      <c r="G1074">
        <f t="shared" si="16"/>
        <v>2018</v>
      </c>
      <c r="H1074" t="s">
        <v>1987</v>
      </c>
      <c r="I1074" t="s">
        <v>881</v>
      </c>
      <c r="J1074" t="s">
        <v>32</v>
      </c>
      <c r="K1074" t="s">
        <v>882</v>
      </c>
      <c r="L1074" t="s">
        <v>2128</v>
      </c>
      <c r="M1074">
        <v>2061</v>
      </c>
    </row>
    <row r="1075" spans="6:13" x14ac:dyDescent="0.35">
      <c r="F1075" s="483">
        <v>42961</v>
      </c>
      <c r="G1075">
        <f t="shared" si="16"/>
        <v>2017</v>
      </c>
      <c r="H1075" t="s">
        <v>1988</v>
      </c>
      <c r="I1075" t="s">
        <v>987</v>
      </c>
      <c r="J1075" t="s">
        <v>35</v>
      </c>
      <c r="K1075" t="s">
        <v>907</v>
      </c>
      <c r="L1075" t="s">
        <v>2126</v>
      </c>
      <c r="M1075">
        <v>5885</v>
      </c>
    </row>
    <row r="1076" spans="6:13" x14ac:dyDescent="0.35">
      <c r="F1076" s="483">
        <v>42845</v>
      </c>
      <c r="G1076">
        <f t="shared" si="16"/>
        <v>2017</v>
      </c>
      <c r="H1076" t="s">
        <v>1989</v>
      </c>
      <c r="I1076" t="s">
        <v>881</v>
      </c>
      <c r="J1076" t="s">
        <v>31</v>
      </c>
      <c r="K1076" t="s">
        <v>890</v>
      </c>
      <c r="L1076" t="s">
        <v>2132</v>
      </c>
      <c r="M1076">
        <v>7540</v>
      </c>
    </row>
    <row r="1077" spans="6:13" x14ac:dyDescent="0.35">
      <c r="F1077" s="483">
        <v>42918</v>
      </c>
      <c r="G1077">
        <f t="shared" si="16"/>
        <v>2017</v>
      </c>
      <c r="H1077" t="s">
        <v>1990</v>
      </c>
      <c r="I1077" t="s">
        <v>885</v>
      </c>
      <c r="J1077" t="s">
        <v>26</v>
      </c>
      <c r="K1077" t="s">
        <v>907</v>
      </c>
      <c r="L1077" t="s">
        <v>2132</v>
      </c>
      <c r="M1077">
        <v>5898</v>
      </c>
    </row>
    <row r="1078" spans="6:13" x14ac:dyDescent="0.35">
      <c r="F1078" s="483">
        <v>43385</v>
      </c>
      <c r="G1078">
        <f t="shared" si="16"/>
        <v>2018</v>
      </c>
      <c r="H1078" t="s">
        <v>1991</v>
      </c>
      <c r="I1078" t="s">
        <v>881</v>
      </c>
      <c r="J1078" t="s">
        <v>33</v>
      </c>
      <c r="K1078" t="s">
        <v>2123</v>
      </c>
      <c r="L1078" t="s">
        <v>2131</v>
      </c>
      <c r="M1078">
        <v>7459</v>
      </c>
    </row>
    <row r="1079" spans="6:13" x14ac:dyDescent="0.35">
      <c r="F1079" s="483">
        <v>42854</v>
      </c>
      <c r="G1079">
        <f t="shared" si="16"/>
        <v>2017</v>
      </c>
      <c r="H1079" t="s">
        <v>1992</v>
      </c>
      <c r="I1079" t="s">
        <v>885</v>
      </c>
      <c r="J1079" t="s">
        <v>31</v>
      </c>
      <c r="K1079" t="s">
        <v>907</v>
      </c>
      <c r="L1079" t="s">
        <v>2131</v>
      </c>
      <c r="M1079">
        <v>7585</v>
      </c>
    </row>
    <row r="1080" spans="6:13" x14ac:dyDescent="0.35">
      <c r="F1080" s="483">
        <v>43267</v>
      </c>
      <c r="G1080">
        <f t="shared" si="16"/>
        <v>2018</v>
      </c>
      <c r="H1080" t="s">
        <v>1993</v>
      </c>
      <c r="I1080" t="s">
        <v>881</v>
      </c>
      <c r="J1080" t="s">
        <v>26</v>
      </c>
      <c r="K1080" t="s">
        <v>2123</v>
      </c>
      <c r="L1080" t="s">
        <v>2127</v>
      </c>
      <c r="M1080">
        <v>7615</v>
      </c>
    </row>
    <row r="1081" spans="6:13" x14ac:dyDescent="0.35">
      <c r="F1081" s="483">
        <v>42938</v>
      </c>
      <c r="G1081">
        <f t="shared" si="16"/>
        <v>2017</v>
      </c>
      <c r="H1081" t="s">
        <v>1994</v>
      </c>
      <c r="I1081" t="s">
        <v>881</v>
      </c>
      <c r="J1081" t="s">
        <v>33</v>
      </c>
      <c r="K1081" t="s">
        <v>890</v>
      </c>
      <c r="L1081" t="s">
        <v>2127</v>
      </c>
      <c r="M1081">
        <v>4148</v>
      </c>
    </row>
    <row r="1082" spans="6:13" x14ac:dyDescent="0.35">
      <c r="F1082" s="483">
        <v>43209</v>
      </c>
      <c r="G1082">
        <f t="shared" si="16"/>
        <v>2018</v>
      </c>
      <c r="H1082" t="s">
        <v>1995</v>
      </c>
      <c r="I1082" t="s">
        <v>976</v>
      </c>
      <c r="J1082" t="s">
        <v>31</v>
      </c>
      <c r="K1082" t="s">
        <v>2123</v>
      </c>
      <c r="L1082" t="s">
        <v>2126</v>
      </c>
      <c r="M1082">
        <v>5705</v>
      </c>
    </row>
    <row r="1083" spans="6:13" x14ac:dyDescent="0.35">
      <c r="F1083" s="483">
        <v>43375</v>
      </c>
      <c r="G1083">
        <f t="shared" si="16"/>
        <v>2018</v>
      </c>
      <c r="H1083" t="s">
        <v>1996</v>
      </c>
      <c r="I1083" t="s">
        <v>925</v>
      </c>
      <c r="J1083" t="s">
        <v>30</v>
      </c>
      <c r="K1083" t="s">
        <v>2123</v>
      </c>
      <c r="L1083" t="s">
        <v>2129</v>
      </c>
      <c r="M1083">
        <v>5496</v>
      </c>
    </row>
    <row r="1084" spans="6:13" x14ac:dyDescent="0.35">
      <c r="F1084" s="483">
        <v>43133</v>
      </c>
      <c r="G1084">
        <f t="shared" si="16"/>
        <v>2018</v>
      </c>
      <c r="H1084" t="s">
        <v>1997</v>
      </c>
      <c r="I1084" t="s">
        <v>881</v>
      </c>
      <c r="J1084" t="s">
        <v>30</v>
      </c>
      <c r="K1084" t="s">
        <v>907</v>
      </c>
      <c r="L1084" t="s">
        <v>2127</v>
      </c>
      <c r="M1084">
        <v>5074</v>
      </c>
    </row>
    <row r="1085" spans="6:13" x14ac:dyDescent="0.35">
      <c r="F1085" s="483">
        <v>43463</v>
      </c>
      <c r="G1085">
        <f t="shared" si="16"/>
        <v>2018</v>
      </c>
      <c r="H1085" t="s">
        <v>1998</v>
      </c>
      <c r="I1085" t="s">
        <v>881</v>
      </c>
      <c r="J1085" t="s">
        <v>33</v>
      </c>
      <c r="K1085" t="s">
        <v>882</v>
      </c>
      <c r="L1085" t="s">
        <v>2125</v>
      </c>
      <c r="M1085">
        <v>2928</v>
      </c>
    </row>
    <row r="1086" spans="6:13" x14ac:dyDescent="0.35">
      <c r="F1086" s="483">
        <v>43210</v>
      </c>
      <c r="G1086">
        <f t="shared" si="16"/>
        <v>2018</v>
      </c>
      <c r="H1086" t="s">
        <v>1999</v>
      </c>
      <c r="I1086" t="s">
        <v>881</v>
      </c>
      <c r="J1086" t="s">
        <v>30</v>
      </c>
      <c r="K1086" t="s">
        <v>890</v>
      </c>
      <c r="L1086" t="s">
        <v>2125</v>
      </c>
      <c r="M1086">
        <v>8643</v>
      </c>
    </row>
    <row r="1087" spans="6:13" x14ac:dyDescent="0.35">
      <c r="F1087" s="483">
        <v>43252</v>
      </c>
      <c r="G1087">
        <f t="shared" si="16"/>
        <v>2018</v>
      </c>
      <c r="H1087" t="s">
        <v>2000</v>
      </c>
      <c r="I1087" t="s">
        <v>881</v>
      </c>
      <c r="J1087" t="s">
        <v>24</v>
      </c>
      <c r="K1087" t="s">
        <v>890</v>
      </c>
      <c r="L1087" t="s">
        <v>2133</v>
      </c>
      <c r="M1087">
        <v>7714</v>
      </c>
    </row>
    <row r="1088" spans="6:13" x14ac:dyDescent="0.35">
      <c r="F1088" s="483">
        <v>42785</v>
      </c>
      <c r="G1088">
        <f t="shared" si="16"/>
        <v>2017</v>
      </c>
      <c r="H1088" t="s">
        <v>2001</v>
      </c>
      <c r="I1088" t="s">
        <v>881</v>
      </c>
      <c r="J1088" t="s">
        <v>29</v>
      </c>
      <c r="K1088" t="s">
        <v>882</v>
      </c>
      <c r="L1088" t="s">
        <v>2127</v>
      </c>
      <c r="M1088">
        <v>3036</v>
      </c>
    </row>
    <row r="1089" spans="6:13" x14ac:dyDescent="0.35">
      <c r="F1089" s="483">
        <v>43373</v>
      </c>
      <c r="G1089">
        <f t="shared" si="16"/>
        <v>2018</v>
      </c>
      <c r="H1089" t="s">
        <v>2002</v>
      </c>
      <c r="I1089" t="s">
        <v>1210</v>
      </c>
      <c r="J1089" t="s">
        <v>35</v>
      </c>
      <c r="K1089" t="s">
        <v>2123</v>
      </c>
      <c r="L1089" t="s">
        <v>2128</v>
      </c>
      <c r="M1089">
        <v>3906</v>
      </c>
    </row>
    <row r="1090" spans="6:13" x14ac:dyDescent="0.35">
      <c r="F1090" s="483">
        <v>43276</v>
      </c>
      <c r="G1090">
        <f t="shared" si="16"/>
        <v>2018</v>
      </c>
      <c r="H1090" t="s">
        <v>2003</v>
      </c>
      <c r="I1090" t="s">
        <v>881</v>
      </c>
      <c r="J1090" t="s">
        <v>34</v>
      </c>
      <c r="K1090" t="s">
        <v>2123</v>
      </c>
      <c r="L1090" t="s">
        <v>2130</v>
      </c>
      <c r="M1090">
        <v>1575</v>
      </c>
    </row>
    <row r="1091" spans="6:13" x14ac:dyDescent="0.35">
      <c r="F1091" s="483">
        <v>42777</v>
      </c>
      <c r="G1091">
        <f t="shared" si="16"/>
        <v>2017</v>
      </c>
      <c r="H1091" t="s">
        <v>2004</v>
      </c>
      <c r="I1091" t="s">
        <v>881</v>
      </c>
      <c r="J1091" t="s">
        <v>38</v>
      </c>
      <c r="K1091" t="s">
        <v>882</v>
      </c>
      <c r="L1091" t="s">
        <v>2125</v>
      </c>
      <c r="M1091">
        <v>5112</v>
      </c>
    </row>
    <row r="1092" spans="6:13" x14ac:dyDescent="0.35">
      <c r="F1092" s="483">
        <v>43450</v>
      </c>
      <c r="G1092">
        <f t="shared" si="16"/>
        <v>2018</v>
      </c>
      <c r="H1092" t="s">
        <v>2005</v>
      </c>
      <c r="I1092" t="s">
        <v>881</v>
      </c>
      <c r="J1092" t="s">
        <v>30</v>
      </c>
      <c r="K1092" t="s">
        <v>907</v>
      </c>
      <c r="L1092" t="s">
        <v>2126</v>
      </c>
      <c r="M1092">
        <v>8616</v>
      </c>
    </row>
    <row r="1093" spans="6:13" x14ac:dyDescent="0.35">
      <c r="F1093" s="483">
        <v>42890</v>
      </c>
      <c r="G1093">
        <f t="shared" si="16"/>
        <v>2017</v>
      </c>
      <c r="H1093" t="s">
        <v>2006</v>
      </c>
      <c r="I1093" t="s">
        <v>881</v>
      </c>
      <c r="J1093" t="s">
        <v>32</v>
      </c>
      <c r="K1093" t="s">
        <v>907</v>
      </c>
      <c r="L1093" t="s">
        <v>2128</v>
      </c>
      <c r="M1093">
        <v>3956</v>
      </c>
    </row>
    <row r="1094" spans="6:13" x14ac:dyDescent="0.35">
      <c r="F1094" s="483">
        <v>43343</v>
      </c>
      <c r="G1094">
        <f t="shared" si="16"/>
        <v>2018</v>
      </c>
      <c r="H1094" t="s">
        <v>2007</v>
      </c>
      <c r="I1094" t="s">
        <v>881</v>
      </c>
      <c r="J1094" t="s">
        <v>30</v>
      </c>
      <c r="K1094" t="s">
        <v>882</v>
      </c>
      <c r="L1094" t="s">
        <v>2128</v>
      </c>
      <c r="M1094">
        <v>6296</v>
      </c>
    </row>
    <row r="1095" spans="6:13" x14ac:dyDescent="0.35">
      <c r="F1095" s="483">
        <v>43439</v>
      </c>
      <c r="G1095">
        <f t="shared" si="16"/>
        <v>2018</v>
      </c>
      <c r="H1095" t="s">
        <v>2008</v>
      </c>
      <c r="I1095" t="s">
        <v>885</v>
      </c>
      <c r="J1095" t="s">
        <v>32</v>
      </c>
      <c r="K1095" t="s">
        <v>890</v>
      </c>
      <c r="L1095" t="s">
        <v>2132</v>
      </c>
      <c r="M1095">
        <v>6772</v>
      </c>
    </row>
    <row r="1096" spans="6:13" x14ac:dyDescent="0.35">
      <c r="F1096" s="483">
        <v>43409</v>
      </c>
      <c r="G1096">
        <f t="shared" si="16"/>
        <v>2018</v>
      </c>
      <c r="H1096" t="s">
        <v>2009</v>
      </c>
      <c r="I1096" t="s">
        <v>881</v>
      </c>
      <c r="J1096" t="s">
        <v>38</v>
      </c>
      <c r="K1096" t="s">
        <v>882</v>
      </c>
      <c r="L1096" t="s">
        <v>2128</v>
      </c>
      <c r="M1096">
        <v>4508</v>
      </c>
    </row>
    <row r="1097" spans="6:13" x14ac:dyDescent="0.35">
      <c r="F1097" s="483">
        <v>43028</v>
      </c>
      <c r="G1097">
        <f t="shared" si="16"/>
        <v>2017</v>
      </c>
      <c r="H1097" t="s">
        <v>2010</v>
      </c>
      <c r="I1097" t="s">
        <v>881</v>
      </c>
      <c r="J1097" t="s">
        <v>28</v>
      </c>
      <c r="K1097" t="s">
        <v>890</v>
      </c>
      <c r="L1097" t="s">
        <v>2131</v>
      </c>
      <c r="M1097">
        <v>5727</v>
      </c>
    </row>
    <row r="1098" spans="6:13" x14ac:dyDescent="0.35">
      <c r="F1098" s="483">
        <v>43071</v>
      </c>
      <c r="G1098">
        <f t="shared" ref="G1098:G1161" si="17">YEAR(F1098)</f>
        <v>2017</v>
      </c>
      <c r="H1098" t="s">
        <v>2011</v>
      </c>
      <c r="I1098" t="s">
        <v>885</v>
      </c>
      <c r="J1098" t="s">
        <v>34</v>
      </c>
      <c r="K1098" t="s">
        <v>890</v>
      </c>
      <c r="L1098" t="s">
        <v>2133</v>
      </c>
      <c r="M1098">
        <v>8353</v>
      </c>
    </row>
    <row r="1099" spans="6:13" x14ac:dyDescent="0.35">
      <c r="F1099" s="483">
        <v>43356</v>
      </c>
      <c r="G1099">
        <f t="shared" si="17"/>
        <v>2018</v>
      </c>
      <c r="H1099" t="s">
        <v>2012</v>
      </c>
      <c r="I1099" t="s">
        <v>885</v>
      </c>
      <c r="J1099" t="s">
        <v>35</v>
      </c>
      <c r="K1099" t="s">
        <v>882</v>
      </c>
      <c r="L1099" t="s">
        <v>2128</v>
      </c>
      <c r="M1099">
        <v>4246</v>
      </c>
    </row>
    <row r="1100" spans="6:13" x14ac:dyDescent="0.35">
      <c r="F1100" s="483">
        <v>42841</v>
      </c>
      <c r="G1100">
        <f t="shared" si="17"/>
        <v>2017</v>
      </c>
      <c r="H1100" t="s">
        <v>2013</v>
      </c>
      <c r="I1100" t="s">
        <v>881</v>
      </c>
      <c r="J1100" t="s">
        <v>26</v>
      </c>
      <c r="K1100" t="s">
        <v>890</v>
      </c>
      <c r="L1100" t="s">
        <v>2129</v>
      </c>
      <c r="M1100">
        <v>6536</v>
      </c>
    </row>
    <row r="1101" spans="6:13" x14ac:dyDescent="0.35">
      <c r="F1101" s="483">
        <v>43320</v>
      </c>
      <c r="G1101">
        <f t="shared" si="17"/>
        <v>2018</v>
      </c>
      <c r="H1101" t="s">
        <v>2014</v>
      </c>
      <c r="I1101" t="s">
        <v>885</v>
      </c>
      <c r="J1101" t="s">
        <v>23</v>
      </c>
      <c r="K1101" t="s">
        <v>882</v>
      </c>
      <c r="L1101" t="s">
        <v>2124</v>
      </c>
      <c r="M1101">
        <v>2835</v>
      </c>
    </row>
    <row r="1102" spans="6:13" x14ac:dyDescent="0.35">
      <c r="F1102" s="483">
        <v>43180</v>
      </c>
      <c r="G1102">
        <f t="shared" si="17"/>
        <v>2018</v>
      </c>
      <c r="H1102" t="s">
        <v>2015</v>
      </c>
      <c r="I1102" t="s">
        <v>881</v>
      </c>
      <c r="J1102" t="s">
        <v>37</v>
      </c>
      <c r="K1102" t="s">
        <v>907</v>
      </c>
      <c r="L1102" t="s">
        <v>2131</v>
      </c>
      <c r="M1102">
        <v>4541</v>
      </c>
    </row>
    <row r="1103" spans="6:13" x14ac:dyDescent="0.35">
      <c r="F1103" s="483">
        <v>43340</v>
      </c>
      <c r="G1103">
        <f t="shared" si="17"/>
        <v>2018</v>
      </c>
      <c r="H1103" t="s">
        <v>2016</v>
      </c>
      <c r="I1103" t="s">
        <v>881</v>
      </c>
      <c r="J1103" t="s">
        <v>35</v>
      </c>
      <c r="K1103" t="s">
        <v>2123</v>
      </c>
      <c r="L1103" t="s">
        <v>2129</v>
      </c>
      <c r="M1103">
        <v>5845</v>
      </c>
    </row>
    <row r="1104" spans="6:13" x14ac:dyDescent="0.35">
      <c r="F1104" s="483">
        <v>43445</v>
      </c>
      <c r="G1104">
        <f t="shared" si="17"/>
        <v>2018</v>
      </c>
      <c r="H1104" t="s">
        <v>2017</v>
      </c>
      <c r="I1104" t="s">
        <v>881</v>
      </c>
      <c r="J1104" t="s">
        <v>28</v>
      </c>
      <c r="K1104" t="s">
        <v>907</v>
      </c>
      <c r="L1104" t="s">
        <v>2129</v>
      </c>
      <c r="M1104">
        <v>8309</v>
      </c>
    </row>
    <row r="1105" spans="6:13" x14ac:dyDescent="0.35">
      <c r="F1105" s="483">
        <v>43090</v>
      </c>
      <c r="G1105">
        <f t="shared" si="17"/>
        <v>2017</v>
      </c>
      <c r="H1105" t="s">
        <v>2018</v>
      </c>
      <c r="I1105" t="s">
        <v>967</v>
      </c>
      <c r="J1105" t="s">
        <v>30</v>
      </c>
      <c r="K1105" t="s">
        <v>890</v>
      </c>
      <c r="L1105" t="s">
        <v>2130</v>
      </c>
      <c r="M1105">
        <v>5557</v>
      </c>
    </row>
    <row r="1106" spans="6:13" x14ac:dyDescent="0.35">
      <c r="F1106" s="483">
        <v>43238</v>
      </c>
      <c r="G1106">
        <f t="shared" si="17"/>
        <v>2018</v>
      </c>
      <c r="H1106" t="s">
        <v>2019</v>
      </c>
      <c r="I1106" t="s">
        <v>1022</v>
      </c>
      <c r="J1106" t="s">
        <v>34</v>
      </c>
      <c r="K1106" t="s">
        <v>2123</v>
      </c>
      <c r="L1106" t="s">
        <v>2131</v>
      </c>
      <c r="M1106">
        <v>3740</v>
      </c>
    </row>
    <row r="1107" spans="6:13" x14ac:dyDescent="0.35">
      <c r="F1107" s="483">
        <v>43376</v>
      </c>
      <c r="G1107">
        <f t="shared" si="17"/>
        <v>2018</v>
      </c>
      <c r="H1107" t="s">
        <v>2020</v>
      </c>
      <c r="I1107" t="s">
        <v>991</v>
      </c>
      <c r="J1107" t="s">
        <v>31</v>
      </c>
      <c r="K1107" t="s">
        <v>2123</v>
      </c>
      <c r="L1107" t="s">
        <v>2129</v>
      </c>
      <c r="M1107">
        <v>8155</v>
      </c>
    </row>
    <row r="1108" spans="6:13" x14ac:dyDescent="0.35">
      <c r="F1108" s="483">
        <v>43274</v>
      </c>
      <c r="G1108">
        <f t="shared" si="17"/>
        <v>2018</v>
      </c>
      <c r="H1108" t="s">
        <v>2021</v>
      </c>
      <c r="I1108" t="s">
        <v>881</v>
      </c>
      <c r="J1108" t="s">
        <v>34</v>
      </c>
      <c r="K1108" t="s">
        <v>2123</v>
      </c>
      <c r="L1108" t="s">
        <v>2129</v>
      </c>
      <c r="M1108">
        <v>5192</v>
      </c>
    </row>
    <row r="1109" spans="6:13" x14ac:dyDescent="0.35">
      <c r="F1109" s="483">
        <v>42819</v>
      </c>
      <c r="G1109">
        <f t="shared" si="17"/>
        <v>2017</v>
      </c>
      <c r="H1109" t="s">
        <v>2022</v>
      </c>
      <c r="I1109" t="s">
        <v>881</v>
      </c>
      <c r="J1109" t="s">
        <v>23</v>
      </c>
      <c r="K1109" t="s">
        <v>907</v>
      </c>
      <c r="L1109" t="s">
        <v>2131</v>
      </c>
      <c r="M1109">
        <v>1495</v>
      </c>
    </row>
    <row r="1110" spans="6:13" x14ac:dyDescent="0.35">
      <c r="F1110" s="483">
        <v>43346</v>
      </c>
      <c r="G1110">
        <f t="shared" si="17"/>
        <v>2018</v>
      </c>
      <c r="H1110" t="s">
        <v>2023</v>
      </c>
      <c r="I1110" t="s">
        <v>881</v>
      </c>
      <c r="J1110" t="s">
        <v>33</v>
      </c>
      <c r="K1110" t="s">
        <v>907</v>
      </c>
      <c r="L1110" t="s">
        <v>2126</v>
      </c>
      <c r="M1110">
        <v>4172</v>
      </c>
    </row>
    <row r="1111" spans="6:13" x14ac:dyDescent="0.35">
      <c r="F1111" s="483">
        <v>43229</v>
      </c>
      <c r="G1111">
        <f t="shared" si="17"/>
        <v>2018</v>
      </c>
      <c r="H1111" t="s">
        <v>2024</v>
      </c>
      <c r="I1111" t="s">
        <v>881</v>
      </c>
      <c r="J1111" t="s">
        <v>36</v>
      </c>
      <c r="K1111" t="s">
        <v>2123</v>
      </c>
      <c r="L1111" t="s">
        <v>2127</v>
      </c>
      <c r="M1111">
        <v>6578</v>
      </c>
    </row>
    <row r="1112" spans="6:13" x14ac:dyDescent="0.35">
      <c r="F1112" s="483">
        <v>42892</v>
      </c>
      <c r="G1112">
        <f t="shared" si="17"/>
        <v>2017</v>
      </c>
      <c r="H1112" t="s">
        <v>2025</v>
      </c>
      <c r="I1112" t="s">
        <v>881</v>
      </c>
      <c r="J1112" t="s">
        <v>24</v>
      </c>
      <c r="K1112" t="s">
        <v>2123</v>
      </c>
      <c r="L1112" t="s">
        <v>2129</v>
      </c>
      <c r="M1112">
        <v>2037</v>
      </c>
    </row>
    <row r="1113" spans="6:13" x14ac:dyDescent="0.35">
      <c r="F1113" s="483">
        <v>43305</v>
      </c>
      <c r="G1113">
        <f t="shared" si="17"/>
        <v>2018</v>
      </c>
      <c r="H1113" t="s">
        <v>2026</v>
      </c>
      <c r="I1113" t="s">
        <v>885</v>
      </c>
      <c r="J1113" t="s">
        <v>29</v>
      </c>
      <c r="K1113" t="s">
        <v>907</v>
      </c>
      <c r="L1113" t="s">
        <v>2126</v>
      </c>
      <c r="M1113">
        <v>6278</v>
      </c>
    </row>
    <row r="1114" spans="6:13" x14ac:dyDescent="0.35">
      <c r="F1114" s="483">
        <v>43167</v>
      </c>
      <c r="G1114">
        <f t="shared" si="17"/>
        <v>2018</v>
      </c>
      <c r="H1114" t="s">
        <v>2027</v>
      </c>
      <c r="I1114" t="s">
        <v>885</v>
      </c>
      <c r="J1114" t="s">
        <v>31</v>
      </c>
      <c r="K1114" t="s">
        <v>882</v>
      </c>
      <c r="L1114" t="s">
        <v>2131</v>
      </c>
      <c r="M1114">
        <v>2414</v>
      </c>
    </row>
    <row r="1115" spans="6:13" x14ac:dyDescent="0.35">
      <c r="F1115" s="483">
        <v>42945</v>
      </c>
      <c r="G1115">
        <f t="shared" si="17"/>
        <v>2017</v>
      </c>
      <c r="H1115" t="s">
        <v>2028</v>
      </c>
      <c r="I1115" t="s">
        <v>881</v>
      </c>
      <c r="J1115" t="s">
        <v>28</v>
      </c>
      <c r="K1115" t="s">
        <v>907</v>
      </c>
      <c r="L1115" t="s">
        <v>2130</v>
      </c>
      <c r="M1115">
        <v>4331</v>
      </c>
    </row>
    <row r="1116" spans="6:13" x14ac:dyDescent="0.35">
      <c r="F1116" s="483">
        <v>42967</v>
      </c>
      <c r="G1116">
        <f t="shared" si="17"/>
        <v>2017</v>
      </c>
      <c r="H1116" t="s">
        <v>2029</v>
      </c>
      <c r="I1116" t="s">
        <v>881</v>
      </c>
      <c r="J1116" t="s">
        <v>38</v>
      </c>
      <c r="K1116" t="s">
        <v>2123</v>
      </c>
      <c r="L1116" t="s">
        <v>2133</v>
      </c>
      <c r="M1116">
        <v>7582</v>
      </c>
    </row>
    <row r="1117" spans="6:13" x14ac:dyDescent="0.35">
      <c r="F1117" s="483">
        <v>43172</v>
      </c>
      <c r="G1117">
        <f t="shared" si="17"/>
        <v>2018</v>
      </c>
      <c r="H1117" t="s">
        <v>2030</v>
      </c>
      <c r="I1117" t="s">
        <v>881</v>
      </c>
      <c r="J1117" t="s">
        <v>37</v>
      </c>
      <c r="K1117" t="s">
        <v>2123</v>
      </c>
      <c r="L1117" t="s">
        <v>2130</v>
      </c>
      <c r="M1117">
        <v>1936</v>
      </c>
    </row>
    <row r="1118" spans="6:13" x14ac:dyDescent="0.35">
      <c r="F1118" s="483">
        <v>43217</v>
      </c>
      <c r="G1118">
        <f t="shared" si="17"/>
        <v>2018</v>
      </c>
      <c r="H1118" t="s">
        <v>2031</v>
      </c>
      <c r="I1118" t="s">
        <v>1018</v>
      </c>
      <c r="J1118" t="s">
        <v>31</v>
      </c>
      <c r="K1118" t="s">
        <v>890</v>
      </c>
      <c r="L1118" t="s">
        <v>2129</v>
      </c>
      <c r="M1118">
        <v>5488</v>
      </c>
    </row>
    <row r="1119" spans="6:13" x14ac:dyDescent="0.35">
      <c r="F1119" s="483">
        <v>43271</v>
      </c>
      <c r="G1119">
        <f t="shared" si="17"/>
        <v>2018</v>
      </c>
      <c r="H1119" t="s">
        <v>2032</v>
      </c>
      <c r="I1119" t="s">
        <v>885</v>
      </c>
      <c r="J1119" t="s">
        <v>37</v>
      </c>
      <c r="K1119" t="s">
        <v>2123</v>
      </c>
      <c r="L1119" t="s">
        <v>2132</v>
      </c>
      <c r="M1119">
        <v>7085</v>
      </c>
    </row>
    <row r="1120" spans="6:13" x14ac:dyDescent="0.35">
      <c r="F1120" s="483">
        <v>43012</v>
      </c>
      <c r="G1120">
        <f t="shared" si="17"/>
        <v>2017</v>
      </c>
      <c r="H1120" t="s">
        <v>2033</v>
      </c>
      <c r="I1120" t="s">
        <v>895</v>
      </c>
      <c r="J1120" t="s">
        <v>29</v>
      </c>
      <c r="K1120" t="s">
        <v>2123</v>
      </c>
      <c r="L1120" t="s">
        <v>2124</v>
      </c>
      <c r="M1120">
        <v>4454</v>
      </c>
    </row>
    <row r="1121" spans="6:13" x14ac:dyDescent="0.35">
      <c r="F1121" s="483">
        <v>43455</v>
      </c>
      <c r="G1121">
        <f t="shared" si="17"/>
        <v>2018</v>
      </c>
      <c r="H1121" t="s">
        <v>2034</v>
      </c>
      <c r="I1121" t="s">
        <v>1131</v>
      </c>
      <c r="J1121" t="s">
        <v>29</v>
      </c>
      <c r="K1121" t="s">
        <v>882</v>
      </c>
      <c r="L1121" t="s">
        <v>2133</v>
      </c>
      <c r="M1121">
        <v>3240</v>
      </c>
    </row>
    <row r="1122" spans="6:13" x14ac:dyDescent="0.35">
      <c r="F1122" s="483">
        <v>42749</v>
      </c>
      <c r="G1122">
        <f t="shared" si="17"/>
        <v>2017</v>
      </c>
      <c r="H1122" t="s">
        <v>2035</v>
      </c>
      <c r="I1122" t="s">
        <v>881</v>
      </c>
      <c r="J1122" t="s">
        <v>29</v>
      </c>
      <c r="K1122" t="s">
        <v>2123</v>
      </c>
      <c r="L1122" t="s">
        <v>2127</v>
      </c>
      <c r="M1122">
        <v>7889</v>
      </c>
    </row>
    <row r="1123" spans="6:13" x14ac:dyDescent="0.35">
      <c r="F1123" s="483">
        <v>43223</v>
      </c>
      <c r="G1123">
        <f t="shared" si="17"/>
        <v>2018</v>
      </c>
      <c r="H1123" t="s">
        <v>2036</v>
      </c>
      <c r="I1123" t="s">
        <v>881</v>
      </c>
      <c r="J1123" t="s">
        <v>31</v>
      </c>
      <c r="K1123" t="s">
        <v>2123</v>
      </c>
      <c r="L1123" t="s">
        <v>2127</v>
      </c>
      <c r="M1123">
        <v>4634</v>
      </c>
    </row>
    <row r="1124" spans="6:13" x14ac:dyDescent="0.35">
      <c r="F1124" s="483">
        <v>42967</v>
      </c>
      <c r="G1124">
        <f t="shared" si="17"/>
        <v>2017</v>
      </c>
      <c r="H1124" t="s">
        <v>2037</v>
      </c>
      <c r="I1124" t="s">
        <v>976</v>
      </c>
      <c r="J1124" t="s">
        <v>38</v>
      </c>
      <c r="K1124" t="s">
        <v>907</v>
      </c>
      <c r="L1124" t="s">
        <v>2130</v>
      </c>
      <c r="M1124">
        <v>3432</v>
      </c>
    </row>
    <row r="1125" spans="6:13" x14ac:dyDescent="0.35">
      <c r="F1125" s="483">
        <v>42890</v>
      </c>
      <c r="G1125">
        <f t="shared" si="17"/>
        <v>2017</v>
      </c>
      <c r="H1125" t="s">
        <v>2038</v>
      </c>
      <c r="I1125" t="s">
        <v>885</v>
      </c>
      <c r="J1125" t="s">
        <v>23</v>
      </c>
      <c r="K1125" t="s">
        <v>907</v>
      </c>
      <c r="L1125" t="s">
        <v>2129</v>
      </c>
      <c r="M1125">
        <v>2504</v>
      </c>
    </row>
    <row r="1126" spans="6:13" x14ac:dyDescent="0.35">
      <c r="F1126" s="483">
        <v>43272</v>
      </c>
      <c r="G1126">
        <f t="shared" si="17"/>
        <v>2018</v>
      </c>
      <c r="H1126" t="s">
        <v>2039</v>
      </c>
      <c r="I1126" t="s">
        <v>881</v>
      </c>
      <c r="J1126" t="s">
        <v>30</v>
      </c>
      <c r="K1126" t="s">
        <v>890</v>
      </c>
      <c r="L1126" t="s">
        <v>2129</v>
      </c>
      <c r="M1126">
        <v>7940</v>
      </c>
    </row>
    <row r="1127" spans="6:13" x14ac:dyDescent="0.35">
      <c r="F1127" s="483">
        <v>43356</v>
      </c>
      <c r="G1127">
        <f t="shared" si="17"/>
        <v>2018</v>
      </c>
      <c r="H1127" t="s">
        <v>2040</v>
      </c>
      <c r="I1127" t="s">
        <v>881</v>
      </c>
      <c r="J1127" t="s">
        <v>38</v>
      </c>
      <c r="K1127" t="s">
        <v>890</v>
      </c>
      <c r="L1127" t="s">
        <v>2127</v>
      </c>
      <c r="M1127">
        <v>6192</v>
      </c>
    </row>
    <row r="1128" spans="6:13" x14ac:dyDescent="0.35">
      <c r="F1128" s="483">
        <v>43035</v>
      </c>
      <c r="G1128">
        <f t="shared" si="17"/>
        <v>2017</v>
      </c>
      <c r="H1128" t="s">
        <v>2041</v>
      </c>
      <c r="I1128" t="s">
        <v>881</v>
      </c>
      <c r="J1128" t="s">
        <v>28</v>
      </c>
      <c r="K1128" t="s">
        <v>2123</v>
      </c>
      <c r="L1128" t="s">
        <v>2124</v>
      </c>
      <c r="M1128">
        <v>6295</v>
      </c>
    </row>
    <row r="1129" spans="6:13" x14ac:dyDescent="0.35">
      <c r="F1129" s="483">
        <v>43292</v>
      </c>
      <c r="G1129">
        <f t="shared" si="17"/>
        <v>2018</v>
      </c>
      <c r="H1129" t="s">
        <v>2042</v>
      </c>
      <c r="I1129" t="s">
        <v>982</v>
      </c>
      <c r="J1129" t="s">
        <v>24</v>
      </c>
      <c r="K1129" t="s">
        <v>2123</v>
      </c>
      <c r="L1129" t="s">
        <v>2125</v>
      </c>
      <c r="M1129">
        <v>5676</v>
      </c>
    </row>
    <row r="1130" spans="6:13" x14ac:dyDescent="0.35">
      <c r="F1130" s="483">
        <v>42997</v>
      </c>
      <c r="G1130">
        <f t="shared" si="17"/>
        <v>2017</v>
      </c>
      <c r="H1130" t="s">
        <v>2043</v>
      </c>
      <c r="I1130" t="s">
        <v>982</v>
      </c>
      <c r="J1130" t="s">
        <v>30</v>
      </c>
      <c r="K1130" t="s">
        <v>882</v>
      </c>
      <c r="L1130" t="s">
        <v>2126</v>
      </c>
      <c r="M1130">
        <v>7398</v>
      </c>
    </row>
    <row r="1131" spans="6:13" x14ac:dyDescent="0.35">
      <c r="F1131" s="483">
        <v>43145</v>
      </c>
      <c r="G1131">
        <f t="shared" si="17"/>
        <v>2018</v>
      </c>
      <c r="H1131" t="s">
        <v>2044</v>
      </c>
      <c r="I1131" t="s">
        <v>881</v>
      </c>
      <c r="J1131" t="s">
        <v>35</v>
      </c>
      <c r="K1131" t="s">
        <v>907</v>
      </c>
      <c r="L1131" t="s">
        <v>2133</v>
      </c>
      <c r="M1131">
        <v>3662</v>
      </c>
    </row>
    <row r="1132" spans="6:13" x14ac:dyDescent="0.35">
      <c r="F1132" s="483">
        <v>43090</v>
      </c>
      <c r="G1132">
        <f t="shared" si="17"/>
        <v>2017</v>
      </c>
      <c r="H1132" t="s">
        <v>2045</v>
      </c>
      <c r="I1132" t="s">
        <v>923</v>
      </c>
      <c r="J1132" t="s">
        <v>33</v>
      </c>
      <c r="K1132" t="s">
        <v>890</v>
      </c>
      <c r="L1132" t="s">
        <v>2130</v>
      </c>
      <c r="M1132">
        <v>4369</v>
      </c>
    </row>
    <row r="1133" spans="6:13" x14ac:dyDescent="0.35">
      <c r="F1133" s="483">
        <v>43398</v>
      </c>
      <c r="G1133">
        <f t="shared" si="17"/>
        <v>2018</v>
      </c>
      <c r="H1133" t="s">
        <v>2046</v>
      </c>
      <c r="I1133" t="s">
        <v>881</v>
      </c>
      <c r="J1133" t="s">
        <v>34</v>
      </c>
      <c r="K1133" t="s">
        <v>890</v>
      </c>
      <c r="L1133" t="s">
        <v>2125</v>
      </c>
      <c r="M1133">
        <v>4547</v>
      </c>
    </row>
    <row r="1134" spans="6:13" x14ac:dyDescent="0.35">
      <c r="F1134" s="483">
        <v>43299</v>
      </c>
      <c r="G1134">
        <f t="shared" si="17"/>
        <v>2018</v>
      </c>
      <c r="H1134" t="s">
        <v>2047</v>
      </c>
      <c r="I1134" t="s">
        <v>881</v>
      </c>
      <c r="J1134" t="s">
        <v>38</v>
      </c>
      <c r="K1134" t="s">
        <v>907</v>
      </c>
      <c r="L1134" t="s">
        <v>2129</v>
      </c>
      <c r="M1134">
        <v>7356</v>
      </c>
    </row>
    <row r="1135" spans="6:13" x14ac:dyDescent="0.35">
      <c r="F1135" s="483">
        <v>42851</v>
      </c>
      <c r="G1135">
        <f t="shared" si="17"/>
        <v>2017</v>
      </c>
      <c r="H1135" t="s">
        <v>2048</v>
      </c>
      <c r="I1135" t="s">
        <v>881</v>
      </c>
      <c r="J1135" t="s">
        <v>26</v>
      </c>
      <c r="K1135" t="s">
        <v>890</v>
      </c>
      <c r="L1135" t="s">
        <v>2129</v>
      </c>
      <c r="M1135">
        <v>3133</v>
      </c>
    </row>
    <row r="1136" spans="6:13" x14ac:dyDescent="0.35">
      <c r="F1136" s="483">
        <v>42775</v>
      </c>
      <c r="G1136">
        <f t="shared" si="17"/>
        <v>2017</v>
      </c>
      <c r="H1136" t="s">
        <v>2049</v>
      </c>
      <c r="I1136" t="s">
        <v>881</v>
      </c>
      <c r="J1136" t="s">
        <v>29</v>
      </c>
      <c r="K1136" t="s">
        <v>2123</v>
      </c>
      <c r="L1136" t="s">
        <v>2126</v>
      </c>
      <c r="M1136">
        <v>8943</v>
      </c>
    </row>
    <row r="1137" spans="6:13" x14ac:dyDescent="0.35">
      <c r="F1137" s="483">
        <v>42832</v>
      </c>
      <c r="G1137">
        <f t="shared" si="17"/>
        <v>2017</v>
      </c>
      <c r="H1137" t="s">
        <v>2050</v>
      </c>
      <c r="I1137" t="s">
        <v>881</v>
      </c>
      <c r="J1137" t="s">
        <v>29</v>
      </c>
      <c r="K1137" t="s">
        <v>882</v>
      </c>
      <c r="L1137" t="s">
        <v>2133</v>
      </c>
      <c r="M1137">
        <v>4115</v>
      </c>
    </row>
    <row r="1138" spans="6:13" x14ac:dyDescent="0.35">
      <c r="F1138" s="483">
        <v>43161</v>
      </c>
      <c r="G1138">
        <f t="shared" si="17"/>
        <v>2018</v>
      </c>
      <c r="H1138" t="s">
        <v>2051</v>
      </c>
      <c r="I1138" t="s">
        <v>881</v>
      </c>
      <c r="J1138" t="s">
        <v>38</v>
      </c>
      <c r="K1138" t="s">
        <v>907</v>
      </c>
      <c r="L1138" t="s">
        <v>2130</v>
      </c>
      <c r="M1138">
        <v>4339</v>
      </c>
    </row>
    <row r="1139" spans="6:13" x14ac:dyDescent="0.35">
      <c r="F1139" s="483">
        <v>43314</v>
      </c>
      <c r="G1139">
        <f t="shared" si="17"/>
        <v>2018</v>
      </c>
      <c r="H1139" t="s">
        <v>2052</v>
      </c>
      <c r="I1139" t="s">
        <v>881</v>
      </c>
      <c r="J1139" t="s">
        <v>30</v>
      </c>
      <c r="K1139" t="s">
        <v>882</v>
      </c>
      <c r="L1139" t="s">
        <v>2129</v>
      </c>
      <c r="M1139">
        <v>7912</v>
      </c>
    </row>
    <row r="1140" spans="6:13" x14ac:dyDescent="0.35">
      <c r="F1140" s="483">
        <v>42937</v>
      </c>
      <c r="G1140">
        <f t="shared" si="17"/>
        <v>2017</v>
      </c>
      <c r="H1140" t="s">
        <v>2053</v>
      </c>
      <c r="I1140" t="s">
        <v>881</v>
      </c>
      <c r="J1140" t="s">
        <v>29</v>
      </c>
      <c r="K1140" t="s">
        <v>2123</v>
      </c>
      <c r="L1140" t="s">
        <v>2129</v>
      </c>
      <c r="M1140">
        <v>5411</v>
      </c>
    </row>
    <row r="1141" spans="6:13" x14ac:dyDescent="0.35">
      <c r="F1141" s="483">
        <v>42801</v>
      </c>
      <c r="G1141">
        <f t="shared" si="17"/>
        <v>2017</v>
      </c>
      <c r="H1141" t="s">
        <v>2054</v>
      </c>
      <c r="I1141" t="s">
        <v>967</v>
      </c>
      <c r="J1141" t="s">
        <v>38</v>
      </c>
      <c r="K1141" t="s">
        <v>2123</v>
      </c>
      <c r="L1141" t="s">
        <v>2124</v>
      </c>
      <c r="M1141">
        <v>7519</v>
      </c>
    </row>
    <row r="1142" spans="6:13" x14ac:dyDescent="0.35">
      <c r="F1142" s="483">
        <v>43369</v>
      </c>
      <c r="G1142">
        <f t="shared" si="17"/>
        <v>2018</v>
      </c>
      <c r="H1142" t="s">
        <v>2055</v>
      </c>
      <c r="I1142" t="s">
        <v>881</v>
      </c>
      <c r="J1142" t="s">
        <v>23</v>
      </c>
      <c r="K1142" t="s">
        <v>890</v>
      </c>
      <c r="L1142" t="s">
        <v>2125</v>
      </c>
      <c r="M1142">
        <v>3777</v>
      </c>
    </row>
    <row r="1143" spans="6:13" x14ac:dyDescent="0.35">
      <c r="F1143" s="483">
        <v>43326</v>
      </c>
      <c r="G1143">
        <f t="shared" si="17"/>
        <v>2018</v>
      </c>
      <c r="H1143" t="s">
        <v>2056</v>
      </c>
      <c r="I1143" t="s">
        <v>939</v>
      </c>
      <c r="J1143" t="s">
        <v>34</v>
      </c>
      <c r="K1143" t="s">
        <v>890</v>
      </c>
      <c r="L1143" t="s">
        <v>2129</v>
      </c>
      <c r="M1143">
        <v>2341</v>
      </c>
    </row>
    <row r="1144" spans="6:13" x14ac:dyDescent="0.35">
      <c r="F1144" s="483">
        <v>43462</v>
      </c>
      <c r="G1144">
        <f t="shared" si="17"/>
        <v>2018</v>
      </c>
      <c r="H1144" t="s">
        <v>2057</v>
      </c>
      <c r="I1144" t="s">
        <v>885</v>
      </c>
      <c r="J1144" t="s">
        <v>31</v>
      </c>
      <c r="K1144" t="s">
        <v>890</v>
      </c>
      <c r="L1144" t="s">
        <v>2124</v>
      </c>
      <c r="M1144">
        <v>8180</v>
      </c>
    </row>
    <row r="1145" spans="6:13" x14ac:dyDescent="0.35">
      <c r="F1145" s="483">
        <v>43078</v>
      </c>
      <c r="G1145">
        <f t="shared" si="17"/>
        <v>2017</v>
      </c>
      <c r="H1145" t="s">
        <v>2058</v>
      </c>
      <c r="I1145" t="s">
        <v>881</v>
      </c>
      <c r="J1145" t="s">
        <v>24</v>
      </c>
      <c r="K1145" t="s">
        <v>2123</v>
      </c>
      <c r="L1145" t="s">
        <v>2126</v>
      </c>
      <c r="M1145">
        <v>7892</v>
      </c>
    </row>
    <row r="1146" spans="6:13" x14ac:dyDescent="0.35">
      <c r="F1146" s="483">
        <v>42842</v>
      </c>
      <c r="G1146">
        <f t="shared" si="17"/>
        <v>2017</v>
      </c>
      <c r="H1146" t="s">
        <v>2059</v>
      </c>
      <c r="I1146" t="s">
        <v>881</v>
      </c>
      <c r="J1146" t="s">
        <v>37</v>
      </c>
      <c r="K1146" t="s">
        <v>2123</v>
      </c>
      <c r="L1146" t="s">
        <v>2131</v>
      </c>
      <c r="M1146">
        <v>6088</v>
      </c>
    </row>
    <row r="1147" spans="6:13" x14ac:dyDescent="0.35">
      <c r="F1147" s="483">
        <v>42882</v>
      </c>
      <c r="G1147">
        <f t="shared" si="17"/>
        <v>2017</v>
      </c>
      <c r="H1147" t="s">
        <v>2060</v>
      </c>
      <c r="I1147" t="s">
        <v>881</v>
      </c>
      <c r="J1147" t="s">
        <v>30</v>
      </c>
      <c r="K1147" t="s">
        <v>890</v>
      </c>
      <c r="L1147" t="s">
        <v>2131</v>
      </c>
      <c r="M1147">
        <v>3081</v>
      </c>
    </row>
    <row r="1148" spans="6:13" x14ac:dyDescent="0.35">
      <c r="F1148" s="483">
        <v>43222</v>
      </c>
      <c r="G1148">
        <f t="shared" si="17"/>
        <v>2018</v>
      </c>
      <c r="H1148" t="s">
        <v>2061</v>
      </c>
      <c r="I1148" t="s">
        <v>885</v>
      </c>
      <c r="J1148" t="s">
        <v>31</v>
      </c>
      <c r="K1148" t="s">
        <v>882</v>
      </c>
      <c r="L1148" t="s">
        <v>2130</v>
      </c>
      <c r="M1148">
        <v>8709</v>
      </c>
    </row>
    <row r="1149" spans="6:13" x14ac:dyDescent="0.35">
      <c r="F1149" s="483">
        <v>43290</v>
      </c>
      <c r="G1149">
        <f t="shared" si="17"/>
        <v>2018</v>
      </c>
      <c r="H1149" t="s">
        <v>2062</v>
      </c>
      <c r="I1149" t="s">
        <v>885</v>
      </c>
      <c r="J1149" t="s">
        <v>38</v>
      </c>
      <c r="K1149" t="s">
        <v>882</v>
      </c>
      <c r="L1149" t="s">
        <v>2124</v>
      </c>
      <c r="M1149">
        <v>1758</v>
      </c>
    </row>
    <row r="1150" spans="6:13" x14ac:dyDescent="0.35">
      <c r="F1150" s="483">
        <v>42776</v>
      </c>
      <c r="G1150">
        <f t="shared" si="17"/>
        <v>2017</v>
      </c>
      <c r="H1150" t="s">
        <v>2063</v>
      </c>
      <c r="I1150" t="s">
        <v>885</v>
      </c>
      <c r="J1150" t="s">
        <v>29</v>
      </c>
      <c r="K1150" t="s">
        <v>890</v>
      </c>
      <c r="L1150" t="s">
        <v>2128</v>
      </c>
      <c r="M1150">
        <v>5418</v>
      </c>
    </row>
    <row r="1151" spans="6:13" x14ac:dyDescent="0.35">
      <c r="F1151" s="483">
        <v>43399</v>
      </c>
      <c r="G1151">
        <f t="shared" si="17"/>
        <v>2018</v>
      </c>
      <c r="H1151" t="s">
        <v>2064</v>
      </c>
      <c r="I1151" t="s">
        <v>881</v>
      </c>
      <c r="J1151" t="s">
        <v>23</v>
      </c>
      <c r="K1151" t="s">
        <v>890</v>
      </c>
      <c r="L1151" t="s">
        <v>2130</v>
      </c>
      <c r="M1151">
        <v>2054</v>
      </c>
    </row>
    <row r="1152" spans="6:13" x14ac:dyDescent="0.35">
      <c r="F1152" s="483">
        <v>43423</v>
      </c>
      <c r="G1152">
        <f t="shared" si="17"/>
        <v>2018</v>
      </c>
      <c r="H1152" t="s">
        <v>2065</v>
      </c>
      <c r="I1152" t="s">
        <v>881</v>
      </c>
      <c r="J1152" t="s">
        <v>24</v>
      </c>
      <c r="K1152" t="s">
        <v>907</v>
      </c>
      <c r="L1152" t="s">
        <v>2132</v>
      </c>
      <c r="M1152">
        <v>3140</v>
      </c>
    </row>
    <row r="1153" spans="6:13" x14ac:dyDescent="0.35">
      <c r="F1153" s="483">
        <v>43220</v>
      </c>
      <c r="G1153">
        <f t="shared" si="17"/>
        <v>2018</v>
      </c>
      <c r="H1153" t="s">
        <v>2066</v>
      </c>
      <c r="I1153" t="s">
        <v>881</v>
      </c>
      <c r="J1153" t="s">
        <v>33</v>
      </c>
      <c r="K1153" t="s">
        <v>907</v>
      </c>
      <c r="L1153" t="s">
        <v>2126</v>
      </c>
      <c r="M1153">
        <v>7740</v>
      </c>
    </row>
    <row r="1154" spans="6:13" x14ac:dyDescent="0.35">
      <c r="F1154" s="483">
        <v>43384</v>
      </c>
      <c r="G1154">
        <f t="shared" si="17"/>
        <v>2018</v>
      </c>
      <c r="H1154" t="s">
        <v>2067</v>
      </c>
      <c r="I1154" t="s">
        <v>881</v>
      </c>
      <c r="J1154" t="s">
        <v>37</v>
      </c>
      <c r="K1154" t="s">
        <v>882</v>
      </c>
      <c r="L1154" t="s">
        <v>2124</v>
      </c>
      <c r="M1154">
        <v>2715</v>
      </c>
    </row>
    <row r="1155" spans="6:13" x14ac:dyDescent="0.35">
      <c r="F1155" s="483">
        <v>42738</v>
      </c>
      <c r="G1155">
        <f t="shared" si="17"/>
        <v>2017</v>
      </c>
      <c r="H1155" t="s">
        <v>2068</v>
      </c>
      <c r="I1155" t="s">
        <v>1183</v>
      </c>
      <c r="J1155" t="s">
        <v>23</v>
      </c>
      <c r="K1155" t="s">
        <v>2123</v>
      </c>
      <c r="L1155" t="s">
        <v>2126</v>
      </c>
      <c r="M1155">
        <v>1773</v>
      </c>
    </row>
    <row r="1156" spans="6:13" x14ac:dyDescent="0.35">
      <c r="F1156" s="483">
        <v>43004</v>
      </c>
      <c r="G1156">
        <f t="shared" si="17"/>
        <v>2017</v>
      </c>
      <c r="H1156" t="s">
        <v>2069</v>
      </c>
      <c r="I1156" t="s">
        <v>881</v>
      </c>
      <c r="J1156" t="s">
        <v>31</v>
      </c>
      <c r="K1156" t="s">
        <v>882</v>
      </c>
      <c r="L1156" t="s">
        <v>2131</v>
      </c>
      <c r="M1156">
        <v>3816</v>
      </c>
    </row>
    <row r="1157" spans="6:13" x14ac:dyDescent="0.35">
      <c r="F1157" s="483">
        <v>42806</v>
      </c>
      <c r="G1157">
        <f t="shared" si="17"/>
        <v>2017</v>
      </c>
      <c r="H1157" t="s">
        <v>2070</v>
      </c>
      <c r="I1157" t="s">
        <v>917</v>
      </c>
      <c r="J1157" t="s">
        <v>24</v>
      </c>
      <c r="K1157" t="s">
        <v>890</v>
      </c>
      <c r="L1157" t="s">
        <v>2128</v>
      </c>
      <c r="M1157">
        <v>8502</v>
      </c>
    </row>
    <row r="1158" spans="6:13" x14ac:dyDescent="0.35">
      <c r="F1158" s="483">
        <v>43332</v>
      </c>
      <c r="G1158">
        <f t="shared" si="17"/>
        <v>2018</v>
      </c>
      <c r="H1158" t="s">
        <v>2071</v>
      </c>
      <c r="I1158" t="s">
        <v>885</v>
      </c>
      <c r="J1158" t="s">
        <v>29</v>
      </c>
      <c r="K1158" t="s">
        <v>890</v>
      </c>
      <c r="L1158" t="s">
        <v>2131</v>
      </c>
      <c r="M1158">
        <v>8439</v>
      </c>
    </row>
    <row r="1159" spans="6:13" x14ac:dyDescent="0.35">
      <c r="F1159" s="483">
        <v>43443</v>
      </c>
      <c r="G1159">
        <f t="shared" si="17"/>
        <v>2018</v>
      </c>
      <c r="H1159" t="s">
        <v>2072</v>
      </c>
      <c r="I1159" t="s">
        <v>991</v>
      </c>
      <c r="J1159" t="s">
        <v>24</v>
      </c>
      <c r="K1159" t="s">
        <v>882</v>
      </c>
      <c r="L1159" t="s">
        <v>2133</v>
      </c>
      <c r="M1159">
        <v>3949</v>
      </c>
    </row>
    <row r="1160" spans="6:13" x14ac:dyDescent="0.35">
      <c r="F1160" s="483">
        <v>42803</v>
      </c>
      <c r="G1160">
        <f t="shared" si="17"/>
        <v>2017</v>
      </c>
      <c r="H1160" t="s">
        <v>2073</v>
      </c>
      <c r="I1160" t="s">
        <v>881</v>
      </c>
      <c r="J1160" t="s">
        <v>28</v>
      </c>
      <c r="K1160" t="s">
        <v>907</v>
      </c>
      <c r="L1160" t="s">
        <v>2130</v>
      </c>
      <c r="M1160">
        <v>7183</v>
      </c>
    </row>
    <row r="1161" spans="6:13" x14ac:dyDescent="0.35">
      <c r="F1161" s="483">
        <v>42922</v>
      </c>
      <c r="G1161">
        <f t="shared" si="17"/>
        <v>2017</v>
      </c>
      <c r="H1161" t="s">
        <v>2074</v>
      </c>
      <c r="I1161" t="s">
        <v>881</v>
      </c>
      <c r="J1161" t="s">
        <v>31</v>
      </c>
      <c r="K1161" t="s">
        <v>907</v>
      </c>
      <c r="L1161" t="s">
        <v>2126</v>
      </c>
      <c r="M1161">
        <v>3280</v>
      </c>
    </row>
    <row r="1162" spans="6:13" x14ac:dyDescent="0.35">
      <c r="F1162" s="483">
        <v>42790</v>
      </c>
      <c r="G1162">
        <f t="shared" ref="G1162:G1206" si="18">YEAR(F1162)</f>
        <v>2017</v>
      </c>
      <c r="H1162" t="s">
        <v>2075</v>
      </c>
      <c r="I1162" t="s">
        <v>881</v>
      </c>
      <c r="J1162" t="s">
        <v>34</v>
      </c>
      <c r="K1162" t="s">
        <v>882</v>
      </c>
      <c r="L1162" t="s">
        <v>2126</v>
      </c>
      <c r="M1162">
        <v>6551</v>
      </c>
    </row>
    <row r="1163" spans="6:13" x14ac:dyDescent="0.35">
      <c r="F1163" s="483">
        <v>43258</v>
      </c>
      <c r="G1163">
        <f t="shared" si="18"/>
        <v>2018</v>
      </c>
      <c r="H1163" t="s">
        <v>2076</v>
      </c>
      <c r="I1163" t="s">
        <v>930</v>
      </c>
      <c r="J1163" t="s">
        <v>28</v>
      </c>
      <c r="K1163" t="s">
        <v>2123</v>
      </c>
      <c r="L1163" t="s">
        <v>2130</v>
      </c>
      <c r="M1163">
        <v>1083</v>
      </c>
    </row>
    <row r="1164" spans="6:13" x14ac:dyDescent="0.35">
      <c r="F1164" s="483">
        <v>43314</v>
      </c>
      <c r="G1164">
        <f t="shared" si="18"/>
        <v>2018</v>
      </c>
      <c r="H1164" t="s">
        <v>2077</v>
      </c>
      <c r="I1164" t="s">
        <v>881</v>
      </c>
      <c r="J1164" t="s">
        <v>36</v>
      </c>
      <c r="K1164" t="s">
        <v>907</v>
      </c>
      <c r="L1164" t="s">
        <v>2126</v>
      </c>
      <c r="M1164">
        <v>3815</v>
      </c>
    </row>
    <row r="1165" spans="6:13" x14ac:dyDescent="0.35">
      <c r="F1165" s="483">
        <v>42953</v>
      </c>
      <c r="G1165">
        <f t="shared" si="18"/>
        <v>2017</v>
      </c>
      <c r="H1165" t="s">
        <v>2078</v>
      </c>
      <c r="I1165" t="s">
        <v>881</v>
      </c>
      <c r="J1165" t="s">
        <v>26</v>
      </c>
      <c r="K1165" t="s">
        <v>882</v>
      </c>
      <c r="L1165" t="s">
        <v>2132</v>
      </c>
      <c r="M1165">
        <v>4158</v>
      </c>
    </row>
    <row r="1166" spans="6:13" x14ac:dyDescent="0.35">
      <c r="F1166" s="483">
        <v>43059</v>
      </c>
      <c r="G1166">
        <f t="shared" si="18"/>
        <v>2017</v>
      </c>
      <c r="H1166" t="s">
        <v>2079</v>
      </c>
      <c r="I1166" t="s">
        <v>881</v>
      </c>
      <c r="J1166" t="s">
        <v>36</v>
      </c>
      <c r="K1166" t="s">
        <v>2123</v>
      </c>
      <c r="L1166" t="s">
        <v>2125</v>
      </c>
      <c r="M1166">
        <v>4454</v>
      </c>
    </row>
    <row r="1167" spans="6:13" x14ac:dyDescent="0.35">
      <c r="F1167" s="483">
        <v>43290</v>
      </c>
      <c r="G1167">
        <f t="shared" si="18"/>
        <v>2018</v>
      </c>
      <c r="H1167" t="s">
        <v>2080</v>
      </c>
      <c r="I1167" t="s">
        <v>881</v>
      </c>
      <c r="J1167" t="s">
        <v>29</v>
      </c>
      <c r="K1167" t="s">
        <v>890</v>
      </c>
      <c r="L1167" t="s">
        <v>2124</v>
      </c>
      <c r="M1167">
        <v>7564</v>
      </c>
    </row>
    <row r="1168" spans="6:13" x14ac:dyDescent="0.35">
      <c r="F1168" s="483">
        <v>43095</v>
      </c>
      <c r="G1168">
        <f t="shared" si="18"/>
        <v>2017</v>
      </c>
      <c r="H1168" t="s">
        <v>2081</v>
      </c>
      <c r="I1168" t="s">
        <v>881</v>
      </c>
      <c r="J1168" t="s">
        <v>33</v>
      </c>
      <c r="K1168" t="s">
        <v>907</v>
      </c>
      <c r="L1168" t="s">
        <v>2132</v>
      </c>
      <c r="M1168">
        <v>6925</v>
      </c>
    </row>
    <row r="1169" spans="6:13" x14ac:dyDescent="0.35">
      <c r="F1169" s="483">
        <v>43163</v>
      </c>
      <c r="G1169">
        <f t="shared" si="18"/>
        <v>2018</v>
      </c>
      <c r="H1169" t="s">
        <v>2082</v>
      </c>
      <c r="I1169" t="s">
        <v>881</v>
      </c>
      <c r="J1169" t="s">
        <v>30</v>
      </c>
      <c r="K1169" t="s">
        <v>907</v>
      </c>
      <c r="L1169" t="s">
        <v>2124</v>
      </c>
      <c r="M1169">
        <v>6378</v>
      </c>
    </row>
    <row r="1170" spans="6:13" x14ac:dyDescent="0.35">
      <c r="F1170" s="483">
        <v>43278</v>
      </c>
      <c r="G1170">
        <f t="shared" si="18"/>
        <v>2018</v>
      </c>
      <c r="H1170" t="s">
        <v>2083</v>
      </c>
      <c r="I1170" t="s">
        <v>885</v>
      </c>
      <c r="J1170" t="s">
        <v>24</v>
      </c>
      <c r="K1170" t="s">
        <v>882</v>
      </c>
      <c r="L1170" t="s">
        <v>2126</v>
      </c>
      <c r="M1170">
        <v>5806</v>
      </c>
    </row>
    <row r="1171" spans="6:13" x14ac:dyDescent="0.35">
      <c r="F1171" s="483">
        <v>42827</v>
      </c>
      <c r="G1171">
        <f t="shared" si="18"/>
        <v>2017</v>
      </c>
      <c r="H1171" t="s">
        <v>2084</v>
      </c>
      <c r="I1171" t="s">
        <v>885</v>
      </c>
      <c r="J1171" t="s">
        <v>30</v>
      </c>
      <c r="K1171" t="s">
        <v>882</v>
      </c>
      <c r="L1171" t="s">
        <v>2128</v>
      </c>
      <c r="M1171">
        <v>7763</v>
      </c>
    </row>
    <row r="1172" spans="6:13" x14ac:dyDescent="0.35">
      <c r="F1172" s="483">
        <v>43051</v>
      </c>
      <c r="G1172">
        <f t="shared" si="18"/>
        <v>2017</v>
      </c>
      <c r="H1172" t="s">
        <v>2085</v>
      </c>
      <c r="I1172" t="s">
        <v>885</v>
      </c>
      <c r="J1172" t="s">
        <v>34</v>
      </c>
      <c r="K1172" t="s">
        <v>2123</v>
      </c>
      <c r="L1172" t="s">
        <v>2128</v>
      </c>
      <c r="M1172">
        <v>6693</v>
      </c>
    </row>
    <row r="1173" spans="6:13" x14ac:dyDescent="0.35">
      <c r="F1173" s="483">
        <v>43206</v>
      </c>
      <c r="G1173">
        <f t="shared" si="18"/>
        <v>2018</v>
      </c>
      <c r="H1173" t="s">
        <v>2086</v>
      </c>
      <c r="I1173" t="s">
        <v>930</v>
      </c>
      <c r="J1173" t="s">
        <v>26</v>
      </c>
      <c r="K1173" t="s">
        <v>882</v>
      </c>
      <c r="L1173" t="s">
        <v>2127</v>
      </c>
      <c r="M1173">
        <v>4893</v>
      </c>
    </row>
    <row r="1174" spans="6:13" x14ac:dyDescent="0.35">
      <c r="F1174" s="483">
        <v>43436</v>
      </c>
      <c r="G1174">
        <f t="shared" si="18"/>
        <v>2018</v>
      </c>
      <c r="H1174" t="s">
        <v>2087</v>
      </c>
      <c r="I1174" t="s">
        <v>1183</v>
      </c>
      <c r="J1174" t="s">
        <v>36</v>
      </c>
      <c r="K1174" t="s">
        <v>2123</v>
      </c>
      <c r="L1174" t="s">
        <v>2133</v>
      </c>
      <c r="M1174">
        <v>2219</v>
      </c>
    </row>
    <row r="1175" spans="6:13" x14ac:dyDescent="0.35">
      <c r="F1175" s="483">
        <v>42765</v>
      </c>
      <c r="G1175">
        <f t="shared" si="18"/>
        <v>2017</v>
      </c>
      <c r="H1175" t="s">
        <v>2088</v>
      </c>
      <c r="I1175" t="s">
        <v>1183</v>
      </c>
      <c r="J1175" t="s">
        <v>29</v>
      </c>
      <c r="K1175" t="s">
        <v>890</v>
      </c>
      <c r="L1175" t="s">
        <v>2133</v>
      </c>
      <c r="M1175">
        <v>6983</v>
      </c>
    </row>
    <row r="1176" spans="6:13" x14ac:dyDescent="0.35">
      <c r="F1176" s="483">
        <v>42853</v>
      </c>
      <c r="G1176">
        <f t="shared" si="18"/>
        <v>2017</v>
      </c>
      <c r="H1176" t="s">
        <v>2089</v>
      </c>
      <c r="I1176" t="s">
        <v>895</v>
      </c>
      <c r="J1176" t="s">
        <v>37</v>
      </c>
      <c r="K1176" t="s">
        <v>882</v>
      </c>
      <c r="L1176" t="s">
        <v>2126</v>
      </c>
      <c r="M1176">
        <v>2335</v>
      </c>
    </row>
    <row r="1177" spans="6:13" x14ac:dyDescent="0.35">
      <c r="F1177" s="483">
        <v>43201</v>
      </c>
      <c r="G1177">
        <f t="shared" si="18"/>
        <v>2018</v>
      </c>
      <c r="H1177" t="s">
        <v>2090</v>
      </c>
      <c r="I1177" t="s">
        <v>893</v>
      </c>
      <c r="J1177" t="s">
        <v>35</v>
      </c>
      <c r="K1177" t="s">
        <v>890</v>
      </c>
      <c r="L1177" t="s">
        <v>2124</v>
      </c>
      <c r="M1177">
        <v>2222</v>
      </c>
    </row>
    <row r="1178" spans="6:13" x14ac:dyDescent="0.35">
      <c r="F1178" s="483">
        <v>42769</v>
      </c>
      <c r="G1178">
        <f t="shared" si="18"/>
        <v>2017</v>
      </c>
      <c r="H1178" t="s">
        <v>2091</v>
      </c>
      <c r="I1178" t="s">
        <v>930</v>
      </c>
      <c r="J1178" t="s">
        <v>30</v>
      </c>
      <c r="K1178" t="s">
        <v>882</v>
      </c>
      <c r="L1178" t="s">
        <v>2126</v>
      </c>
      <c r="M1178">
        <v>5715</v>
      </c>
    </row>
    <row r="1179" spans="6:13" x14ac:dyDescent="0.35">
      <c r="F1179" s="483">
        <v>42827</v>
      </c>
      <c r="G1179">
        <f t="shared" si="18"/>
        <v>2017</v>
      </c>
      <c r="H1179" t="s">
        <v>2092</v>
      </c>
      <c r="I1179" t="s">
        <v>1028</v>
      </c>
      <c r="J1179" t="s">
        <v>38</v>
      </c>
      <c r="K1179" t="s">
        <v>890</v>
      </c>
      <c r="L1179" t="s">
        <v>2133</v>
      </c>
      <c r="M1179">
        <v>5655</v>
      </c>
    </row>
    <row r="1180" spans="6:13" x14ac:dyDescent="0.35">
      <c r="F1180" s="483">
        <v>43013</v>
      </c>
      <c r="G1180">
        <f t="shared" si="18"/>
        <v>2017</v>
      </c>
      <c r="H1180" t="s">
        <v>2093</v>
      </c>
      <c r="I1180" t="s">
        <v>906</v>
      </c>
      <c r="J1180" t="s">
        <v>23</v>
      </c>
      <c r="K1180" t="s">
        <v>907</v>
      </c>
      <c r="L1180" t="s">
        <v>2127</v>
      </c>
      <c r="M1180">
        <v>2099</v>
      </c>
    </row>
    <row r="1181" spans="6:13" x14ac:dyDescent="0.35">
      <c r="F1181" s="483">
        <v>43318</v>
      </c>
      <c r="G1181">
        <f t="shared" si="18"/>
        <v>2018</v>
      </c>
      <c r="H1181" t="s">
        <v>2094</v>
      </c>
      <c r="I1181" t="s">
        <v>885</v>
      </c>
      <c r="J1181" t="s">
        <v>28</v>
      </c>
      <c r="K1181" t="s">
        <v>2123</v>
      </c>
      <c r="L1181" t="s">
        <v>2129</v>
      </c>
      <c r="M1181">
        <v>7511</v>
      </c>
    </row>
    <row r="1182" spans="6:13" x14ac:dyDescent="0.35">
      <c r="F1182" s="483">
        <v>42888</v>
      </c>
      <c r="G1182">
        <f t="shared" si="18"/>
        <v>2017</v>
      </c>
      <c r="H1182" t="s">
        <v>2095</v>
      </c>
      <c r="I1182" t="s">
        <v>1131</v>
      </c>
      <c r="J1182" t="s">
        <v>36</v>
      </c>
      <c r="K1182" t="s">
        <v>2123</v>
      </c>
      <c r="L1182" t="s">
        <v>2125</v>
      </c>
      <c r="M1182">
        <v>3619</v>
      </c>
    </row>
    <row r="1183" spans="6:13" x14ac:dyDescent="0.35">
      <c r="F1183" s="483">
        <v>42890</v>
      </c>
      <c r="G1183">
        <f t="shared" si="18"/>
        <v>2017</v>
      </c>
      <c r="H1183" t="s">
        <v>2096</v>
      </c>
      <c r="I1183" t="s">
        <v>976</v>
      </c>
      <c r="J1183" t="s">
        <v>30</v>
      </c>
      <c r="K1183" t="s">
        <v>882</v>
      </c>
      <c r="L1183" t="s">
        <v>2132</v>
      </c>
      <c r="M1183">
        <v>2441</v>
      </c>
    </row>
    <row r="1184" spans="6:13" x14ac:dyDescent="0.35">
      <c r="F1184" s="483">
        <v>43052</v>
      </c>
      <c r="G1184">
        <f t="shared" si="18"/>
        <v>2017</v>
      </c>
      <c r="H1184" t="s">
        <v>2097</v>
      </c>
      <c r="I1184" t="s">
        <v>982</v>
      </c>
      <c r="J1184" t="s">
        <v>36</v>
      </c>
      <c r="K1184" t="s">
        <v>907</v>
      </c>
      <c r="L1184" t="s">
        <v>2131</v>
      </c>
      <c r="M1184">
        <v>6890</v>
      </c>
    </row>
    <row r="1185" spans="6:13" x14ac:dyDescent="0.35">
      <c r="F1185" s="483">
        <v>42931</v>
      </c>
      <c r="G1185">
        <f t="shared" si="18"/>
        <v>2017</v>
      </c>
      <c r="H1185" t="s">
        <v>2098</v>
      </c>
      <c r="I1185" t="s">
        <v>885</v>
      </c>
      <c r="J1185" t="s">
        <v>34</v>
      </c>
      <c r="K1185" t="s">
        <v>882</v>
      </c>
      <c r="L1185" t="s">
        <v>2130</v>
      </c>
      <c r="M1185">
        <v>5409</v>
      </c>
    </row>
    <row r="1186" spans="6:13" x14ac:dyDescent="0.35">
      <c r="F1186" s="483">
        <v>42759</v>
      </c>
      <c r="G1186">
        <f t="shared" si="18"/>
        <v>2017</v>
      </c>
      <c r="H1186" t="s">
        <v>2099</v>
      </c>
      <c r="I1186" t="s">
        <v>906</v>
      </c>
      <c r="J1186" t="s">
        <v>26</v>
      </c>
      <c r="K1186" t="s">
        <v>890</v>
      </c>
      <c r="L1186" t="s">
        <v>2130</v>
      </c>
      <c r="M1186">
        <v>8799</v>
      </c>
    </row>
    <row r="1187" spans="6:13" x14ac:dyDescent="0.35">
      <c r="F1187" s="483">
        <v>43347</v>
      </c>
      <c r="G1187">
        <f t="shared" si="18"/>
        <v>2018</v>
      </c>
      <c r="H1187" t="s">
        <v>2100</v>
      </c>
      <c r="I1187" t="s">
        <v>885</v>
      </c>
      <c r="J1187" t="s">
        <v>26</v>
      </c>
      <c r="K1187" t="s">
        <v>882</v>
      </c>
      <c r="L1187" t="s">
        <v>2129</v>
      </c>
      <c r="M1187">
        <v>4966</v>
      </c>
    </row>
    <row r="1188" spans="6:13" x14ac:dyDescent="0.35">
      <c r="F1188" s="483">
        <v>42753</v>
      </c>
      <c r="G1188">
        <f t="shared" si="18"/>
        <v>2017</v>
      </c>
      <c r="H1188" t="s">
        <v>2101</v>
      </c>
      <c r="I1188" t="s">
        <v>885</v>
      </c>
      <c r="J1188" t="s">
        <v>28</v>
      </c>
      <c r="K1188" t="s">
        <v>882</v>
      </c>
      <c r="L1188" t="s">
        <v>2133</v>
      </c>
      <c r="M1188">
        <v>1211</v>
      </c>
    </row>
    <row r="1189" spans="6:13" x14ac:dyDescent="0.35">
      <c r="F1189" s="483">
        <v>43220</v>
      </c>
      <c r="G1189">
        <f t="shared" si="18"/>
        <v>2018</v>
      </c>
      <c r="H1189" t="s">
        <v>2102</v>
      </c>
      <c r="I1189" t="s">
        <v>885</v>
      </c>
      <c r="J1189" t="s">
        <v>30</v>
      </c>
      <c r="K1189" t="s">
        <v>890</v>
      </c>
      <c r="L1189" t="s">
        <v>2129</v>
      </c>
      <c r="M1189">
        <v>5147</v>
      </c>
    </row>
    <row r="1190" spans="6:13" x14ac:dyDescent="0.35">
      <c r="F1190" s="483">
        <v>43200</v>
      </c>
      <c r="G1190">
        <f t="shared" si="18"/>
        <v>2018</v>
      </c>
      <c r="H1190" t="s">
        <v>2103</v>
      </c>
      <c r="I1190" t="s">
        <v>1210</v>
      </c>
      <c r="J1190" t="s">
        <v>29</v>
      </c>
      <c r="K1190" t="s">
        <v>2123</v>
      </c>
      <c r="L1190" t="s">
        <v>2126</v>
      </c>
      <c r="M1190">
        <v>4980</v>
      </c>
    </row>
    <row r="1191" spans="6:13" x14ac:dyDescent="0.35">
      <c r="F1191" s="483">
        <v>43126</v>
      </c>
      <c r="G1191">
        <f t="shared" si="18"/>
        <v>2018</v>
      </c>
      <c r="H1191" t="s">
        <v>2104</v>
      </c>
      <c r="I1191" t="s">
        <v>923</v>
      </c>
      <c r="J1191" t="s">
        <v>24</v>
      </c>
      <c r="K1191" t="s">
        <v>890</v>
      </c>
      <c r="L1191" t="s">
        <v>2133</v>
      </c>
      <c r="M1191">
        <v>3876</v>
      </c>
    </row>
    <row r="1192" spans="6:13" x14ac:dyDescent="0.35">
      <c r="F1192" s="483">
        <v>42768</v>
      </c>
      <c r="G1192">
        <f t="shared" si="18"/>
        <v>2017</v>
      </c>
      <c r="H1192" t="s">
        <v>2105</v>
      </c>
      <c r="I1192" t="s">
        <v>925</v>
      </c>
      <c r="J1192" t="s">
        <v>24</v>
      </c>
      <c r="K1192" t="s">
        <v>907</v>
      </c>
      <c r="L1192" t="s">
        <v>2126</v>
      </c>
      <c r="M1192">
        <v>5927</v>
      </c>
    </row>
    <row r="1193" spans="6:13" x14ac:dyDescent="0.35">
      <c r="F1193" s="483">
        <v>43452</v>
      </c>
      <c r="G1193">
        <f t="shared" si="18"/>
        <v>2018</v>
      </c>
      <c r="H1193" t="s">
        <v>2106</v>
      </c>
      <c r="I1193" t="s">
        <v>885</v>
      </c>
      <c r="J1193" t="s">
        <v>26</v>
      </c>
      <c r="K1193" t="s">
        <v>882</v>
      </c>
      <c r="L1193" t="s">
        <v>2131</v>
      </c>
      <c r="M1193">
        <v>6307</v>
      </c>
    </row>
    <row r="1194" spans="6:13" x14ac:dyDescent="0.35">
      <c r="F1194" s="483">
        <v>43047</v>
      </c>
      <c r="G1194">
        <f t="shared" si="18"/>
        <v>2017</v>
      </c>
      <c r="H1194" t="s">
        <v>2107</v>
      </c>
      <c r="I1194" t="s">
        <v>885</v>
      </c>
      <c r="J1194" t="s">
        <v>28</v>
      </c>
      <c r="K1194" t="s">
        <v>907</v>
      </c>
      <c r="L1194" t="s">
        <v>2126</v>
      </c>
      <c r="M1194">
        <v>6634</v>
      </c>
    </row>
    <row r="1195" spans="6:13" x14ac:dyDescent="0.35">
      <c r="F1195" s="483">
        <v>43173</v>
      </c>
      <c r="G1195">
        <f t="shared" si="18"/>
        <v>2018</v>
      </c>
      <c r="H1195" t="s">
        <v>2108</v>
      </c>
      <c r="I1195" t="s">
        <v>925</v>
      </c>
      <c r="J1195" t="s">
        <v>29</v>
      </c>
      <c r="K1195" t="s">
        <v>890</v>
      </c>
      <c r="L1195" t="s">
        <v>2132</v>
      </c>
      <c r="M1195">
        <v>7008</v>
      </c>
    </row>
    <row r="1196" spans="6:13" x14ac:dyDescent="0.35">
      <c r="F1196" s="483">
        <v>43351</v>
      </c>
      <c r="G1196">
        <f t="shared" si="18"/>
        <v>2018</v>
      </c>
      <c r="H1196" t="s">
        <v>2109</v>
      </c>
      <c r="I1196" t="s">
        <v>917</v>
      </c>
      <c r="J1196" t="s">
        <v>33</v>
      </c>
      <c r="K1196" t="s">
        <v>882</v>
      </c>
      <c r="L1196" t="s">
        <v>2125</v>
      </c>
      <c r="M1196">
        <v>1794</v>
      </c>
    </row>
    <row r="1197" spans="6:13" x14ac:dyDescent="0.35">
      <c r="F1197" s="483">
        <v>43412</v>
      </c>
      <c r="G1197">
        <f t="shared" si="18"/>
        <v>2018</v>
      </c>
      <c r="H1197" t="s">
        <v>2110</v>
      </c>
      <c r="I1197" t="s">
        <v>893</v>
      </c>
      <c r="J1197" t="s">
        <v>30</v>
      </c>
      <c r="K1197" t="s">
        <v>882</v>
      </c>
      <c r="L1197" t="s">
        <v>2125</v>
      </c>
      <c r="M1197">
        <v>7939</v>
      </c>
    </row>
    <row r="1198" spans="6:13" x14ac:dyDescent="0.35">
      <c r="F1198" s="483">
        <v>43448</v>
      </c>
      <c r="G1198">
        <f t="shared" si="18"/>
        <v>2018</v>
      </c>
      <c r="H1198" t="s">
        <v>2111</v>
      </c>
      <c r="I1198" t="s">
        <v>932</v>
      </c>
      <c r="J1198" t="s">
        <v>33</v>
      </c>
      <c r="K1198" t="s">
        <v>907</v>
      </c>
      <c r="L1198" t="s">
        <v>2132</v>
      </c>
      <c r="M1198">
        <v>6172</v>
      </c>
    </row>
    <row r="1199" spans="6:13" x14ac:dyDescent="0.35">
      <c r="F1199" s="483">
        <v>43127</v>
      </c>
      <c r="G1199">
        <f t="shared" si="18"/>
        <v>2018</v>
      </c>
      <c r="H1199" t="s">
        <v>2112</v>
      </c>
      <c r="I1199" t="s">
        <v>1018</v>
      </c>
      <c r="J1199" t="s">
        <v>29</v>
      </c>
      <c r="K1199" t="s">
        <v>882</v>
      </c>
      <c r="L1199" t="s">
        <v>2131</v>
      </c>
      <c r="M1199">
        <v>5369</v>
      </c>
    </row>
    <row r="1200" spans="6:13" x14ac:dyDescent="0.35">
      <c r="F1200" s="483">
        <v>43055</v>
      </c>
      <c r="G1200">
        <f t="shared" si="18"/>
        <v>2017</v>
      </c>
      <c r="H1200" t="s">
        <v>2113</v>
      </c>
      <c r="I1200" t="s">
        <v>987</v>
      </c>
      <c r="J1200" t="s">
        <v>31</v>
      </c>
      <c r="K1200" t="s">
        <v>907</v>
      </c>
      <c r="L1200" t="s">
        <v>2131</v>
      </c>
      <c r="M1200">
        <v>7337</v>
      </c>
    </row>
    <row r="1201" spans="6:13" x14ac:dyDescent="0.35">
      <c r="F1201" s="483">
        <v>43400</v>
      </c>
      <c r="G1201">
        <f t="shared" si="18"/>
        <v>2018</v>
      </c>
      <c r="H1201" t="s">
        <v>2114</v>
      </c>
      <c r="I1201" t="s">
        <v>885</v>
      </c>
      <c r="J1201" t="s">
        <v>30</v>
      </c>
      <c r="K1201" t="s">
        <v>882</v>
      </c>
      <c r="L1201" t="s">
        <v>2127</v>
      </c>
      <c r="M1201">
        <v>1086</v>
      </c>
    </row>
    <row r="1202" spans="6:13" x14ac:dyDescent="0.35">
      <c r="F1202" s="483">
        <v>43359</v>
      </c>
      <c r="G1202">
        <f t="shared" si="18"/>
        <v>2018</v>
      </c>
      <c r="H1202" t="s">
        <v>2115</v>
      </c>
      <c r="I1202" t="s">
        <v>885</v>
      </c>
      <c r="J1202" t="s">
        <v>32</v>
      </c>
      <c r="K1202" t="s">
        <v>882</v>
      </c>
      <c r="L1202" t="s">
        <v>2128</v>
      </c>
      <c r="M1202">
        <v>1935</v>
      </c>
    </row>
    <row r="1203" spans="6:13" x14ac:dyDescent="0.35">
      <c r="F1203" s="483">
        <v>43379</v>
      </c>
      <c r="G1203">
        <f t="shared" si="18"/>
        <v>2018</v>
      </c>
      <c r="H1203" t="s">
        <v>2116</v>
      </c>
      <c r="I1203" t="s">
        <v>1210</v>
      </c>
      <c r="J1203" t="s">
        <v>31</v>
      </c>
      <c r="K1203" t="s">
        <v>890</v>
      </c>
      <c r="L1203" t="s">
        <v>2129</v>
      </c>
      <c r="M1203">
        <v>7260</v>
      </c>
    </row>
    <row r="1204" spans="6:13" x14ac:dyDescent="0.35">
      <c r="F1204" s="483">
        <v>43183</v>
      </c>
      <c r="G1204">
        <f t="shared" si="18"/>
        <v>2018</v>
      </c>
      <c r="H1204" t="s">
        <v>2117</v>
      </c>
      <c r="I1204" t="s">
        <v>906</v>
      </c>
      <c r="J1204" t="s">
        <v>23</v>
      </c>
      <c r="K1204" t="s">
        <v>890</v>
      </c>
      <c r="L1204" t="s">
        <v>2129</v>
      </c>
      <c r="M1204">
        <v>5436</v>
      </c>
    </row>
    <row r="1205" spans="6:13" x14ac:dyDescent="0.35">
      <c r="F1205" s="483">
        <v>43363</v>
      </c>
      <c r="G1205">
        <f t="shared" si="18"/>
        <v>2018</v>
      </c>
      <c r="H1205" t="s">
        <v>2118</v>
      </c>
      <c r="I1205" t="s">
        <v>885</v>
      </c>
      <c r="J1205" t="s">
        <v>26</v>
      </c>
      <c r="K1205" t="s">
        <v>882</v>
      </c>
      <c r="L1205" t="s">
        <v>2124</v>
      </c>
      <c r="M1205">
        <v>2542</v>
      </c>
    </row>
    <row r="1206" spans="6:13" x14ac:dyDescent="0.35">
      <c r="F1206" s="483">
        <v>43430</v>
      </c>
      <c r="G1206">
        <f t="shared" si="18"/>
        <v>2018</v>
      </c>
      <c r="H1206" t="s">
        <v>2119</v>
      </c>
      <c r="I1206" t="s">
        <v>912</v>
      </c>
      <c r="J1206" t="s">
        <v>37</v>
      </c>
      <c r="K1206" t="s">
        <v>2123</v>
      </c>
      <c r="L1206" t="s">
        <v>2133</v>
      </c>
      <c r="M1206">
        <v>2424</v>
      </c>
    </row>
  </sheetData>
  <pageMargins left="0.7" right="0.7" top="0.75" bottom="0.75" header="0.3" footer="0.3"/>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1CC8-289E-451B-A57D-746912744B6A}">
  <sheetPr codeName="Sheet21"/>
  <dimension ref="A1:Z33"/>
  <sheetViews>
    <sheetView showGridLines="0" workbookViewId="0"/>
  </sheetViews>
  <sheetFormatPr defaultColWidth="8.7265625" defaultRowHeight="14" x14ac:dyDescent="0.4"/>
  <cols>
    <col min="1" max="1" width="2.453125" style="20" customWidth="1"/>
    <col min="2" max="2" width="3.7265625" style="20" customWidth="1"/>
    <col min="3" max="4" width="11.7265625" style="20" customWidth="1"/>
    <col min="5" max="6" width="3.7265625" style="20" customWidth="1"/>
    <col min="7" max="8" width="11.7265625" style="20" customWidth="1"/>
    <col min="9" max="10" width="3.7265625" style="20" customWidth="1"/>
    <col min="11" max="12" width="11.7265625" style="20" customWidth="1"/>
    <col min="13" max="14" width="3.7265625" style="20" customWidth="1"/>
    <col min="15" max="16" width="11.7265625" style="20" customWidth="1"/>
    <col min="17" max="18" width="3.7265625" style="20" customWidth="1"/>
    <col min="19" max="20" width="11.7265625" style="20" customWidth="1"/>
    <col min="21" max="22" width="3.7265625" style="20" customWidth="1"/>
    <col min="23" max="24" width="11.7265625" style="20" customWidth="1"/>
    <col min="25" max="26" width="3.7265625" style="20" customWidth="1"/>
    <col min="27" max="16384" width="8.7265625" style="123"/>
  </cols>
  <sheetData>
    <row r="1" spans="1:26" x14ac:dyDescent="0.4">
      <c r="A1" s="6"/>
      <c r="B1" s="6"/>
      <c r="C1" s="6"/>
      <c r="D1" s="19"/>
      <c r="E1" s="6"/>
      <c r="F1" s="6"/>
      <c r="G1" s="6"/>
      <c r="H1" s="19"/>
      <c r="I1" s="6"/>
      <c r="J1" s="6"/>
      <c r="K1" s="6"/>
      <c r="L1" s="19"/>
      <c r="M1" s="6"/>
      <c r="N1" s="6"/>
      <c r="O1" s="6"/>
      <c r="P1" s="19"/>
      <c r="Q1" s="6"/>
      <c r="R1" s="6"/>
      <c r="S1" s="6"/>
      <c r="T1" s="19"/>
      <c r="U1" s="6"/>
      <c r="V1" s="6"/>
      <c r="W1" s="6"/>
      <c r="X1" s="19"/>
      <c r="Y1" s="6"/>
      <c r="Z1" s="6"/>
    </row>
    <row r="2" spans="1:26" ht="26" x14ac:dyDescent="0.65">
      <c r="A2" s="6"/>
      <c r="B2" s="7" t="str">
        <f>Cover!$C$8</f>
        <v>Microsoft Excel Training</v>
      </c>
      <c r="C2" s="6"/>
      <c r="D2" s="19"/>
      <c r="E2" s="6"/>
      <c r="F2" s="7"/>
      <c r="G2" s="6"/>
      <c r="H2" s="19"/>
      <c r="I2" s="6"/>
      <c r="J2" s="7"/>
      <c r="K2" s="6"/>
      <c r="L2" s="19"/>
      <c r="M2" s="6"/>
      <c r="N2" s="7"/>
      <c r="O2" s="6"/>
      <c r="P2" s="19"/>
      <c r="Q2" s="6"/>
      <c r="R2" s="7"/>
      <c r="S2" s="6"/>
      <c r="T2" s="19"/>
      <c r="U2" s="6"/>
      <c r="V2" s="7"/>
      <c r="W2" s="6"/>
      <c r="X2" s="19"/>
      <c r="Y2" s="6"/>
      <c r="Z2" s="6"/>
    </row>
    <row r="3" spans="1:26" x14ac:dyDescent="0.4">
      <c r="A3" s="6"/>
      <c r="B3" s="6"/>
      <c r="C3" s="6"/>
      <c r="D3" s="19"/>
      <c r="E3" s="6"/>
      <c r="F3" s="6"/>
      <c r="G3" s="6"/>
      <c r="H3" s="19"/>
      <c r="I3" s="6"/>
      <c r="J3" s="6"/>
      <c r="K3" s="6"/>
      <c r="L3" s="19"/>
      <c r="M3" s="6"/>
      <c r="N3" s="6"/>
      <c r="O3" s="6"/>
      <c r="P3" s="19"/>
      <c r="Q3" s="6"/>
      <c r="R3" s="6"/>
      <c r="S3" s="6"/>
      <c r="T3" s="19"/>
      <c r="U3" s="6"/>
      <c r="V3" s="6"/>
      <c r="W3" s="6"/>
      <c r="X3" s="19"/>
      <c r="Y3" s="6"/>
      <c r="Z3" s="6"/>
    </row>
    <row r="4" spans="1:26" x14ac:dyDescent="0.4">
      <c r="A4" s="8"/>
      <c r="B4" s="8"/>
      <c r="C4" s="8"/>
      <c r="D4" s="8"/>
      <c r="E4" s="8"/>
      <c r="F4" s="8"/>
      <c r="G4" s="8"/>
      <c r="H4" s="8"/>
      <c r="I4" s="8"/>
      <c r="J4" s="8"/>
      <c r="K4" s="8"/>
      <c r="L4" s="8"/>
      <c r="M4" s="8"/>
      <c r="N4" s="8"/>
      <c r="O4" s="8"/>
      <c r="P4" s="8"/>
      <c r="Q4" s="8"/>
      <c r="R4" s="8"/>
      <c r="S4" s="8"/>
      <c r="T4" s="8"/>
      <c r="U4" s="8"/>
      <c r="V4" s="8"/>
      <c r="W4" s="8"/>
      <c r="X4" s="8"/>
      <c r="Y4" s="8"/>
      <c r="Z4" s="8"/>
    </row>
    <row r="5" spans="1:26" ht="16.5" x14ac:dyDescent="0.45">
      <c r="A5" s="8"/>
      <c r="B5" s="9" t="s">
        <v>705</v>
      </c>
      <c r="C5" s="10"/>
      <c r="D5" s="10"/>
      <c r="E5" s="10"/>
      <c r="F5" s="9"/>
      <c r="G5" s="10"/>
      <c r="H5" s="10"/>
      <c r="I5" s="10"/>
      <c r="J5" s="9"/>
      <c r="K5" s="10"/>
      <c r="L5" s="10"/>
      <c r="M5" s="10"/>
      <c r="N5" s="9"/>
      <c r="O5" s="10"/>
      <c r="P5" s="10"/>
      <c r="Q5" s="10"/>
      <c r="R5" s="9"/>
      <c r="S5" s="10"/>
      <c r="T5" s="10"/>
      <c r="U5" s="10"/>
      <c r="V5" s="9"/>
      <c r="W5" s="10"/>
      <c r="X5" s="10"/>
      <c r="Y5" s="10"/>
      <c r="Z5" s="10"/>
    </row>
    <row r="6" spans="1:26" ht="3.75" customHeight="1" x14ac:dyDescent="0.4">
      <c r="A6" s="8"/>
      <c r="B6" s="8"/>
      <c r="C6" s="8"/>
      <c r="D6" s="8"/>
      <c r="E6" s="8"/>
      <c r="F6" s="8"/>
      <c r="G6" s="8"/>
      <c r="H6" s="8"/>
      <c r="I6" s="8"/>
      <c r="J6" s="8"/>
      <c r="K6" s="8"/>
      <c r="L6" s="8"/>
      <c r="M6" s="8"/>
      <c r="N6" s="8"/>
      <c r="O6" s="8"/>
      <c r="P6" s="8"/>
      <c r="Q6" s="8"/>
      <c r="R6" s="8"/>
      <c r="S6" s="8"/>
      <c r="T6" s="8"/>
      <c r="U6" s="8"/>
      <c r="V6" s="8"/>
      <c r="W6" s="8"/>
      <c r="X6" s="8"/>
      <c r="Y6" s="8"/>
      <c r="Z6" s="8"/>
    </row>
    <row r="7" spans="1:26" x14ac:dyDescent="0.4">
      <c r="A7" s="8"/>
      <c r="B7" s="8"/>
      <c r="C7" s="8"/>
      <c r="D7" s="8"/>
      <c r="E7" s="8"/>
      <c r="F7" s="8"/>
      <c r="G7" s="8"/>
      <c r="H7" s="8"/>
      <c r="I7" s="8"/>
      <c r="J7" s="8"/>
      <c r="K7" s="8"/>
      <c r="L7" s="8"/>
      <c r="M7" s="8"/>
      <c r="N7" s="8"/>
      <c r="O7" s="8"/>
      <c r="P7" s="8"/>
      <c r="Q7" s="8"/>
      <c r="R7" s="8"/>
      <c r="S7" s="8"/>
      <c r="T7" s="8"/>
      <c r="U7" s="8"/>
      <c r="V7" s="8"/>
      <c r="W7" s="8"/>
      <c r="X7" s="8"/>
      <c r="Y7" s="8"/>
      <c r="Z7" s="8"/>
    </row>
    <row r="8" spans="1:26" ht="16" x14ac:dyDescent="0.45">
      <c r="A8" s="8"/>
      <c r="B8" s="114" t="s">
        <v>708</v>
      </c>
      <c r="C8" s="114"/>
      <c r="D8" s="114"/>
      <c r="E8" s="114"/>
      <c r="F8" s="114" t="s">
        <v>706</v>
      </c>
      <c r="G8" s="114"/>
      <c r="H8" s="114"/>
      <c r="I8" s="114"/>
      <c r="J8" s="114" t="s">
        <v>322</v>
      </c>
      <c r="K8" s="114"/>
      <c r="L8" s="114"/>
      <c r="M8" s="114"/>
      <c r="N8" s="114" t="s">
        <v>707</v>
      </c>
      <c r="O8" s="114"/>
      <c r="P8" s="114"/>
      <c r="Q8" s="114"/>
      <c r="R8" s="114" t="s">
        <v>2590</v>
      </c>
      <c r="S8" s="114"/>
      <c r="T8" s="114"/>
      <c r="U8" s="114"/>
      <c r="V8" s="114" t="s">
        <v>2591</v>
      </c>
      <c r="W8" s="114"/>
      <c r="X8" s="114"/>
      <c r="Y8" s="114"/>
      <c r="Z8" s="114"/>
    </row>
    <row r="9" spans="1:26" ht="16" x14ac:dyDescent="0.45">
      <c r="A9" s="8"/>
      <c r="B9" s="8"/>
      <c r="C9" s="114"/>
      <c r="D9" s="114"/>
      <c r="E9" s="114"/>
      <c r="F9" s="8"/>
      <c r="G9" s="114"/>
      <c r="H9" s="114"/>
      <c r="I9" s="114"/>
      <c r="J9" s="8"/>
      <c r="K9" s="114"/>
      <c r="L9" s="114"/>
      <c r="M9" s="114"/>
      <c r="N9" s="8"/>
      <c r="O9" s="114"/>
      <c r="P9" s="114"/>
      <c r="Q9" s="114"/>
      <c r="R9" s="8"/>
      <c r="S9" s="114"/>
      <c r="T9" s="114"/>
      <c r="U9" s="114"/>
      <c r="V9" s="8"/>
      <c r="W9" s="114"/>
      <c r="X9" s="114"/>
      <c r="Y9" s="114"/>
      <c r="Z9" s="114"/>
    </row>
    <row r="10" spans="1:26" ht="16" x14ac:dyDescent="0.45">
      <c r="A10" s="8"/>
      <c r="B10" s="8"/>
      <c r="C10" s="114"/>
      <c r="D10" s="114"/>
      <c r="E10" s="114"/>
      <c r="F10" s="8"/>
      <c r="G10" s="114"/>
      <c r="H10" s="114"/>
      <c r="I10" s="114"/>
      <c r="J10" s="8"/>
      <c r="K10" s="114"/>
      <c r="L10" s="114"/>
      <c r="M10" s="114"/>
      <c r="N10" s="8"/>
      <c r="O10" s="114"/>
      <c r="P10" s="114"/>
      <c r="Q10" s="114"/>
      <c r="R10" s="8"/>
      <c r="S10" s="114"/>
      <c r="T10" s="114"/>
      <c r="U10" s="114"/>
      <c r="V10" s="8"/>
      <c r="W10" s="114"/>
      <c r="X10" s="114"/>
      <c r="Y10" s="114"/>
      <c r="Z10" s="114"/>
    </row>
    <row r="11" spans="1:26" ht="16" x14ac:dyDescent="0.45">
      <c r="A11" s="8"/>
      <c r="B11" s="8"/>
      <c r="C11" s="114"/>
      <c r="D11" s="114"/>
      <c r="E11" s="114"/>
      <c r="F11" s="8"/>
      <c r="G11" s="114"/>
      <c r="H11" s="114"/>
      <c r="I11" s="114"/>
      <c r="J11" s="8"/>
      <c r="K11" s="114"/>
      <c r="L11" s="114"/>
      <c r="M11" s="114"/>
      <c r="N11" s="8"/>
      <c r="O11" s="114"/>
      <c r="P11" s="114"/>
      <c r="Q11" s="114"/>
      <c r="R11" s="8"/>
      <c r="S11" s="114"/>
      <c r="T11" s="114"/>
      <c r="U11" s="114"/>
      <c r="V11" s="8"/>
      <c r="W11" s="114"/>
      <c r="X11" s="114"/>
      <c r="Y11" s="114"/>
      <c r="Z11" s="114"/>
    </row>
    <row r="12" spans="1:26" ht="16" x14ac:dyDescent="0.45">
      <c r="A12" s="8"/>
      <c r="B12" s="8"/>
      <c r="C12" s="114"/>
      <c r="D12" s="114"/>
      <c r="E12" s="114"/>
      <c r="F12" s="8"/>
      <c r="G12" s="114"/>
      <c r="H12" s="114"/>
      <c r="I12" s="114"/>
      <c r="J12" s="8"/>
      <c r="K12" s="114"/>
      <c r="L12" s="114"/>
      <c r="M12" s="114"/>
      <c r="N12" s="8"/>
      <c r="O12" s="114"/>
      <c r="P12" s="114"/>
      <c r="Q12" s="114"/>
      <c r="R12" s="8"/>
      <c r="S12" s="114"/>
      <c r="T12" s="114"/>
      <c r="U12" s="114"/>
      <c r="V12" s="8"/>
      <c r="W12" s="114"/>
      <c r="X12" s="114"/>
      <c r="Y12" s="114"/>
      <c r="Z12" s="114"/>
    </row>
    <row r="13" spans="1:26" ht="16" x14ac:dyDescent="0.45">
      <c r="A13" s="8"/>
      <c r="B13" s="8"/>
      <c r="C13" s="114"/>
      <c r="D13" s="114"/>
      <c r="E13" s="114"/>
      <c r="F13" s="8"/>
      <c r="G13" s="114"/>
      <c r="H13" s="114"/>
      <c r="I13" s="114"/>
      <c r="J13" s="8"/>
      <c r="K13" s="114"/>
      <c r="L13" s="114"/>
      <c r="M13" s="114"/>
      <c r="N13" s="8"/>
      <c r="O13" s="114"/>
      <c r="P13" s="114"/>
      <c r="Q13" s="114"/>
      <c r="R13" s="8"/>
      <c r="S13" s="114"/>
      <c r="T13" s="114"/>
      <c r="U13" s="114"/>
      <c r="V13" s="8"/>
      <c r="W13" s="114"/>
      <c r="X13" s="114"/>
      <c r="Y13" s="114"/>
      <c r="Z13" s="114"/>
    </row>
    <row r="14" spans="1:26" ht="16" x14ac:dyDescent="0.45">
      <c r="A14" s="8"/>
      <c r="B14" s="8"/>
      <c r="C14" s="114"/>
      <c r="D14" s="114"/>
      <c r="E14" s="114"/>
      <c r="F14" s="8"/>
      <c r="G14" s="114"/>
      <c r="H14" s="114"/>
      <c r="I14" s="114"/>
      <c r="J14" s="8"/>
      <c r="K14" s="114"/>
      <c r="L14" s="114"/>
      <c r="M14" s="114"/>
      <c r="N14" s="8"/>
      <c r="O14" s="114"/>
      <c r="P14" s="114"/>
      <c r="Q14" s="114"/>
      <c r="R14" s="8"/>
      <c r="S14" s="114"/>
      <c r="T14" s="114"/>
      <c r="U14" s="114"/>
      <c r="V14" s="8"/>
      <c r="W14" s="114"/>
      <c r="X14" s="114"/>
      <c r="Y14" s="114"/>
      <c r="Z14" s="114"/>
    </row>
    <row r="15" spans="1:26" ht="16" x14ac:dyDescent="0.45">
      <c r="A15" s="8"/>
      <c r="B15" s="8"/>
      <c r="C15" s="114"/>
      <c r="D15" s="114"/>
      <c r="E15" s="114"/>
      <c r="F15" s="8"/>
      <c r="G15" s="114"/>
      <c r="H15" s="114"/>
      <c r="I15" s="114"/>
      <c r="J15" s="8"/>
      <c r="K15" s="114"/>
      <c r="L15" s="114"/>
      <c r="M15" s="114"/>
      <c r="N15" s="8"/>
      <c r="O15" s="114"/>
      <c r="P15" s="114"/>
      <c r="Q15" s="114"/>
      <c r="R15" s="8"/>
      <c r="S15" s="114"/>
      <c r="T15" s="114"/>
      <c r="U15" s="114"/>
      <c r="V15" s="8"/>
      <c r="W15" s="114"/>
      <c r="X15" s="114"/>
      <c r="Y15" s="114"/>
      <c r="Z15" s="114"/>
    </row>
    <row r="16" spans="1:26" ht="16" x14ac:dyDescent="0.45">
      <c r="A16" s="8"/>
      <c r="B16" s="8"/>
      <c r="C16" s="114"/>
      <c r="D16" s="114"/>
      <c r="E16" s="114"/>
      <c r="F16" s="8"/>
      <c r="G16" s="114"/>
      <c r="H16" s="114"/>
      <c r="I16" s="114"/>
      <c r="J16" s="8"/>
      <c r="K16" s="114"/>
      <c r="L16" s="114"/>
      <c r="M16" s="114"/>
      <c r="N16" s="8"/>
      <c r="O16" s="114"/>
      <c r="P16" s="114"/>
      <c r="Q16" s="114"/>
      <c r="R16" s="8"/>
      <c r="S16" s="114"/>
      <c r="T16" s="114"/>
      <c r="U16" s="114"/>
      <c r="V16" s="8"/>
      <c r="W16" s="114"/>
      <c r="X16" s="114"/>
      <c r="Y16" s="114"/>
      <c r="Z16" s="114"/>
    </row>
    <row r="17" spans="1:26" ht="16" x14ac:dyDescent="0.45">
      <c r="A17" s="8"/>
      <c r="B17" s="8"/>
      <c r="C17" s="114"/>
      <c r="D17" s="114"/>
      <c r="E17" s="114"/>
      <c r="F17" s="8"/>
      <c r="G17" s="114"/>
      <c r="H17" s="114"/>
      <c r="I17" s="114"/>
      <c r="J17" s="8"/>
      <c r="K17" s="114"/>
      <c r="L17" s="114"/>
      <c r="M17" s="114"/>
      <c r="N17" s="8"/>
      <c r="O17" s="114"/>
      <c r="P17" s="114"/>
      <c r="Q17" s="114"/>
      <c r="R17" s="8"/>
      <c r="S17" s="114"/>
      <c r="T17" s="114"/>
      <c r="U17" s="114"/>
      <c r="V17" s="8"/>
      <c r="W17" s="114"/>
      <c r="X17" s="114"/>
      <c r="Y17" s="114"/>
      <c r="Z17" s="114"/>
    </row>
    <row r="18" spans="1:26" ht="16" x14ac:dyDescent="0.45">
      <c r="A18" s="8"/>
      <c r="B18" s="114" t="s">
        <v>2592</v>
      </c>
      <c r="C18" s="114"/>
      <c r="D18" s="114"/>
      <c r="E18" s="114"/>
      <c r="F18" s="114" t="s">
        <v>2593</v>
      </c>
      <c r="G18" s="114"/>
      <c r="H18" s="114"/>
      <c r="I18" s="114"/>
      <c r="J18" s="114" t="s">
        <v>2594</v>
      </c>
      <c r="K18" s="114"/>
      <c r="L18" s="114"/>
      <c r="M18" s="114"/>
      <c r="N18" s="114" t="s">
        <v>2595</v>
      </c>
      <c r="O18" s="114"/>
      <c r="P18" s="114"/>
      <c r="Q18" s="114"/>
      <c r="R18" s="114" t="s">
        <v>2596</v>
      </c>
      <c r="S18" s="114"/>
      <c r="T18" s="114"/>
      <c r="U18" s="114"/>
      <c r="V18" s="114" t="s">
        <v>2597</v>
      </c>
      <c r="W18" s="114"/>
      <c r="X18" s="114"/>
      <c r="Y18" s="114"/>
      <c r="Z18" s="114"/>
    </row>
    <row r="19" spans="1:26" ht="16" x14ac:dyDescent="0.45">
      <c r="A19" s="8"/>
      <c r="B19" s="8"/>
      <c r="C19" s="114"/>
      <c r="D19" s="114"/>
      <c r="E19" s="114"/>
      <c r="F19" s="8"/>
      <c r="G19" s="114"/>
      <c r="H19" s="114"/>
      <c r="I19" s="114"/>
      <c r="J19" s="8"/>
      <c r="K19" s="114"/>
      <c r="L19" s="114"/>
      <c r="M19" s="114"/>
      <c r="N19" s="8"/>
      <c r="O19" s="114"/>
      <c r="P19" s="114"/>
      <c r="Q19" s="114"/>
      <c r="R19" s="8"/>
      <c r="S19" s="114"/>
      <c r="T19" s="114"/>
      <c r="U19" s="114"/>
      <c r="V19" s="8"/>
      <c r="W19" s="114"/>
      <c r="X19" s="114"/>
      <c r="Y19" s="114"/>
      <c r="Z19" s="114"/>
    </row>
    <row r="20" spans="1:26" ht="16" x14ac:dyDescent="0.45">
      <c r="A20" s="8"/>
      <c r="B20" s="8"/>
      <c r="C20" s="114"/>
      <c r="D20" s="114"/>
      <c r="E20" s="114"/>
      <c r="F20" s="8"/>
      <c r="G20" s="114"/>
      <c r="H20" s="114"/>
      <c r="I20" s="114"/>
      <c r="J20" s="8"/>
      <c r="K20" s="114"/>
      <c r="L20" s="114"/>
      <c r="M20" s="114"/>
      <c r="N20" s="8"/>
      <c r="O20" s="114"/>
      <c r="P20" s="114"/>
      <c r="Q20" s="114"/>
      <c r="R20" s="8"/>
      <c r="S20" s="114"/>
      <c r="T20" s="114"/>
      <c r="U20" s="114"/>
      <c r="V20" s="8"/>
      <c r="W20" s="114"/>
      <c r="X20" s="114"/>
      <c r="Y20" s="114"/>
      <c r="Z20" s="114"/>
    </row>
    <row r="21" spans="1:26" ht="16" x14ac:dyDescent="0.45">
      <c r="A21" s="8"/>
      <c r="B21" s="8"/>
      <c r="C21" s="114"/>
      <c r="D21" s="114"/>
      <c r="E21" s="114"/>
      <c r="F21" s="8"/>
      <c r="G21" s="114"/>
      <c r="H21" s="114"/>
      <c r="I21" s="114"/>
      <c r="J21" s="8"/>
      <c r="K21" s="114"/>
      <c r="L21" s="114"/>
      <c r="M21" s="114"/>
      <c r="N21" s="8"/>
      <c r="O21" s="114"/>
      <c r="P21" s="114"/>
      <c r="Q21" s="114"/>
      <c r="R21" s="8"/>
      <c r="S21" s="114"/>
      <c r="T21" s="114"/>
      <c r="U21" s="114"/>
      <c r="V21" s="8"/>
      <c r="W21" s="114"/>
      <c r="X21" s="114"/>
      <c r="Y21" s="114"/>
      <c r="Z21" s="114"/>
    </row>
    <row r="22" spans="1:26" ht="16" x14ac:dyDescent="0.45">
      <c r="A22" s="8"/>
      <c r="B22" s="8"/>
      <c r="C22" s="114"/>
      <c r="D22" s="114"/>
      <c r="E22" s="114"/>
      <c r="F22" s="8"/>
      <c r="G22" s="114"/>
      <c r="H22" s="114"/>
      <c r="I22" s="114"/>
      <c r="J22" s="8"/>
      <c r="K22" s="114"/>
      <c r="L22" s="114"/>
      <c r="M22" s="114"/>
      <c r="N22" s="8"/>
      <c r="O22" s="114"/>
      <c r="P22" s="114"/>
      <c r="Q22" s="114"/>
      <c r="R22" s="8"/>
      <c r="S22" s="114"/>
      <c r="T22" s="114"/>
      <c r="U22" s="114"/>
      <c r="V22" s="8"/>
      <c r="W22" s="114"/>
      <c r="X22" s="114"/>
      <c r="Y22" s="114"/>
      <c r="Z22" s="114"/>
    </row>
    <row r="23" spans="1:26" ht="16" x14ac:dyDescent="0.45">
      <c r="A23" s="8"/>
      <c r="B23" s="8"/>
      <c r="C23" s="114"/>
      <c r="D23" s="114"/>
      <c r="E23" s="114"/>
      <c r="F23" s="8"/>
      <c r="G23" s="114"/>
      <c r="H23" s="114"/>
      <c r="I23" s="114"/>
      <c r="J23" s="8"/>
      <c r="K23" s="114"/>
      <c r="L23" s="114"/>
      <c r="M23" s="114"/>
      <c r="N23" s="8"/>
      <c r="O23" s="114"/>
      <c r="P23" s="114"/>
      <c r="Q23" s="114"/>
      <c r="R23" s="8"/>
      <c r="S23" s="114"/>
      <c r="T23" s="114"/>
      <c r="U23" s="114"/>
      <c r="V23" s="8"/>
      <c r="W23" s="114"/>
      <c r="X23" s="114"/>
      <c r="Y23" s="114"/>
      <c r="Z23" s="114"/>
    </row>
    <row r="24" spans="1:26" ht="16" x14ac:dyDescent="0.45">
      <c r="A24" s="8"/>
      <c r="B24" s="8"/>
      <c r="C24" s="114"/>
      <c r="D24" s="114"/>
      <c r="E24" s="114"/>
      <c r="F24" s="8"/>
      <c r="G24" s="114"/>
      <c r="H24" s="114"/>
      <c r="I24" s="114"/>
      <c r="J24" s="8"/>
      <c r="K24" s="114"/>
      <c r="L24" s="114"/>
      <c r="M24" s="114"/>
      <c r="N24" s="8"/>
      <c r="O24" s="114"/>
      <c r="P24" s="114"/>
      <c r="Q24" s="114"/>
      <c r="R24" s="8"/>
      <c r="S24" s="114"/>
      <c r="T24" s="114"/>
      <c r="U24" s="114"/>
      <c r="V24" s="8"/>
      <c r="W24" s="114"/>
      <c r="X24" s="114"/>
      <c r="Y24" s="114"/>
      <c r="Z24" s="114"/>
    </row>
    <row r="25" spans="1:26" ht="16" x14ac:dyDescent="0.45">
      <c r="A25" s="8"/>
      <c r="B25" s="8"/>
      <c r="C25" s="114"/>
      <c r="D25" s="114"/>
      <c r="E25" s="114"/>
      <c r="F25" s="8"/>
      <c r="G25" s="114"/>
      <c r="H25" s="114"/>
      <c r="I25" s="114"/>
      <c r="J25" s="8"/>
      <c r="K25" s="114"/>
      <c r="L25" s="114"/>
      <c r="M25" s="114"/>
      <c r="N25" s="8"/>
      <c r="O25" s="114"/>
      <c r="P25" s="114"/>
      <c r="Q25" s="114"/>
      <c r="R25" s="8"/>
      <c r="S25" s="114"/>
      <c r="T25" s="114"/>
      <c r="U25" s="114"/>
      <c r="V25" s="8"/>
      <c r="W25" s="114"/>
      <c r="X25" s="114"/>
      <c r="Y25" s="114"/>
      <c r="Z25" s="114"/>
    </row>
    <row r="26" spans="1:26" ht="16" x14ac:dyDescent="0.45">
      <c r="A26" s="8"/>
      <c r="B26" s="8"/>
      <c r="C26" s="114"/>
      <c r="D26" s="114"/>
      <c r="E26" s="114"/>
      <c r="F26" s="8"/>
      <c r="G26" s="114"/>
      <c r="H26" s="114"/>
      <c r="I26" s="114"/>
      <c r="J26" s="8"/>
      <c r="K26" s="114"/>
      <c r="L26" s="114"/>
      <c r="M26" s="114"/>
      <c r="N26" s="8"/>
      <c r="O26" s="114"/>
      <c r="P26" s="114"/>
      <c r="Q26" s="114"/>
      <c r="R26" s="8"/>
      <c r="S26" s="114"/>
      <c r="T26" s="114"/>
      <c r="U26" s="114"/>
      <c r="V26" s="8"/>
      <c r="W26" s="114"/>
      <c r="X26" s="114"/>
      <c r="Y26" s="114"/>
      <c r="Z26" s="114"/>
    </row>
    <row r="27" spans="1:26" ht="16" x14ac:dyDescent="0.45">
      <c r="A27" s="8"/>
      <c r="B27" s="8"/>
      <c r="C27" s="114"/>
      <c r="D27" s="114"/>
      <c r="E27" s="114"/>
      <c r="F27" s="8"/>
      <c r="G27" s="114"/>
      <c r="H27" s="114"/>
      <c r="I27" s="114"/>
      <c r="J27" s="8"/>
      <c r="K27" s="114"/>
      <c r="L27" s="114"/>
      <c r="M27" s="114"/>
      <c r="N27" s="8"/>
      <c r="O27" s="114"/>
      <c r="P27" s="114"/>
      <c r="Q27" s="114"/>
      <c r="R27" s="8"/>
      <c r="S27" s="114"/>
      <c r="T27" s="114"/>
      <c r="U27" s="114"/>
      <c r="V27" s="8"/>
      <c r="W27" s="114"/>
      <c r="X27" s="114"/>
      <c r="Y27" s="114"/>
      <c r="Z27" s="114"/>
    </row>
    <row r="28" spans="1:26" x14ac:dyDescent="0.4">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x14ac:dyDescent="0.4">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x14ac:dyDescent="0.4">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x14ac:dyDescent="0.4">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x14ac:dyDescent="0.4">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x14ac:dyDescent="0.4">
      <c r="A33" s="6"/>
      <c r="B33" s="6"/>
      <c r="C33" s="6"/>
      <c r="D33" s="6"/>
      <c r="E33" s="6"/>
      <c r="F33" s="6"/>
      <c r="G33" s="6"/>
      <c r="H33" s="6"/>
      <c r="I33" s="6"/>
      <c r="J33" s="6"/>
      <c r="K33" s="6"/>
      <c r="L33" s="6"/>
      <c r="M33" s="6"/>
      <c r="N33" s="6"/>
      <c r="O33" s="6"/>
      <c r="P33" s="6"/>
      <c r="Q33" s="6"/>
      <c r="R33" s="6"/>
      <c r="S33" s="6"/>
      <c r="T33" s="6"/>
      <c r="U33" s="6"/>
      <c r="V33" s="6"/>
      <c r="W33" s="6"/>
      <c r="X33" s="6"/>
      <c r="Y33" s="6"/>
      <c r="Z33" s="6"/>
    </row>
  </sheetData>
  <sheetProtection algorithmName="SHA-512" hashValue="AYlM8dtBzjxVw3Ss5tIIxBgshwbzvUXtlqB7TF/kLzmJ+ZKAkUI4NuFqSB3XE1oujxnf8W60Yd/3/Lt160KNcA==" saltValue="TfX0hPcD40T9lIHDTahrqg==" spinCount="100000" sheet="1" objects="1" scenarios="1"/>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358B8-DE8A-4026-ABD5-7CC17A9BA25F}">
  <sheetPr codeName="Sheet22">
    <tabColor rgb="FF00B050"/>
  </sheetPr>
  <dimension ref="A1:S169"/>
  <sheetViews>
    <sheetView showGridLines="0" workbookViewId="0">
      <selection activeCell="B2" sqref="B2"/>
    </sheetView>
  </sheetViews>
  <sheetFormatPr defaultColWidth="8" defaultRowHeight="12" customHeight="1" x14ac:dyDescent="0.4"/>
  <cols>
    <col min="1" max="1" width="3" style="273" bestFit="1" customWidth="1"/>
    <col min="2" max="2" width="2.453125" style="274" customWidth="1"/>
    <col min="3" max="3" width="26.453125" style="275" customWidth="1"/>
    <col min="4" max="6" width="2.453125" style="274" customWidth="1"/>
    <col min="7" max="7" width="11" style="274" customWidth="1"/>
    <col min="8" max="9" width="8" style="274" customWidth="1"/>
    <col min="10" max="10" width="1.453125" style="274" customWidth="1"/>
    <col min="11" max="11" width="6.81640625" style="274" customWidth="1"/>
    <col min="12" max="12" width="8" style="274" customWidth="1"/>
    <col min="13" max="13" width="10" style="274" customWidth="1"/>
    <col min="14" max="14" width="8" style="274" customWidth="1"/>
    <col min="15" max="15" width="32.453125" style="274" customWidth="1"/>
    <col min="16" max="16" width="3" style="274" customWidth="1"/>
    <col min="17" max="18" width="32.26953125" style="274" customWidth="1"/>
    <col min="19" max="19" width="8" style="274" customWidth="1"/>
    <col min="20" max="16384" width="8" style="274"/>
  </cols>
  <sheetData>
    <row r="1" spans="1:19" customFormat="1" ht="14.5" x14ac:dyDescent="0.35"/>
    <row r="2" spans="1:19" customFormat="1" ht="16" x14ac:dyDescent="0.45">
      <c r="A2" s="25"/>
      <c r="B2" s="126"/>
      <c r="C2" s="126"/>
      <c r="D2" s="126"/>
      <c r="E2" s="126"/>
      <c r="F2" s="126"/>
      <c r="G2" s="126"/>
      <c r="H2" s="126"/>
      <c r="I2" s="126"/>
      <c r="J2" s="126"/>
      <c r="K2" s="126"/>
      <c r="L2" s="126"/>
      <c r="M2" s="126"/>
      <c r="N2" s="126"/>
      <c r="O2" s="126"/>
      <c r="P2" s="126"/>
      <c r="Q2" s="126"/>
      <c r="R2" s="126"/>
      <c r="S2" s="126"/>
    </row>
    <row r="3" spans="1:19" customFormat="1" ht="16" x14ac:dyDescent="0.45">
      <c r="A3" s="25"/>
      <c r="B3" s="127" t="s">
        <v>326</v>
      </c>
      <c r="C3" s="128"/>
      <c r="D3" s="126"/>
      <c r="E3" s="126"/>
      <c r="F3" s="126"/>
      <c r="G3" s="126"/>
      <c r="H3" s="126"/>
      <c r="I3" s="126"/>
      <c r="J3" s="126"/>
      <c r="K3" s="126"/>
      <c r="L3" s="126"/>
      <c r="M3" s="126"/>
      <c r="N3" s="126"/>
      <c r="O3" s="126"/>
      <c r="P3" s="126"/>
      <c r="Q3" s="126"/>
      <c r="R3" s="126"/>
      <c r="S3" s="126"/>
    </row>
    <row r="4" spans="1:19" customFormat="1" ht="16" x14ac:dyDescent="0.45">
      <c r="A4" s="25"/>
      <c r="B4" s="128" t="s">
        <v>364</v>
      </c>
      <c r="C4" s="126"/>
      <c r="D4" s="126"/>
      <c r="E4" s="126"/>
      <c r="F4" s="126"/>
      <c r="G4" s="126"/>
      <c r="H4" s="126"/>
      <c r="I4" s="126"/>
      <c r="J4" s="126"/>
      <c r="K4" s="126"/>
      <c r="L4" s="126"/>
      <c r="M4" s="126"/>
      <c r="N4" s="126"/>
      <c r="O4" s="126"/>
      <c r="P4" s="126"/>
      <c r="Q4" s="126"/>
      <c r="R4" s="126"/>
      <c r="S4" s="126"/>
    </row>
    <row r="5" spans="1:19" customFormat="1" ht="16" x14ac:dyDescent="0.45">
      <c r="A5" s="25"/>
      <c r="B5" s="128"/>
      <c r="C5" s="126"/>
      <c r="D5" s="126"/>
      <c r="E5" s="126"/>
      <c r="F5" s="126"/>
      <c r="G5" s="126"/>
      <c r="H5" s="126"/>
      <c r="I5" s="126"/>
      <c r="J5" s="126"/>
      <c r="K5" s="126"/>
      <c r="L5" s="126"/>
      <c r="M5" s="126"/>
      <c r="N5" s="126"/>
      <c r="O5" s="126"/>
      <c r="P5" s="126"/>
      <c r="Q5" s="126"/>
      <c r="R5" s="126"/>
      <c r="S5" s="126"/>
    </row>
    <row r="6" spans="1:19" customFormat="1" ht="14.5" x14ac:dyDescent="0.35"/>
    <row r="7" spans="1:19" ht="14" x14ac:dyDescent="0.4">
      <c r="D7" s="276"/>
    </row>
    <row r="8" spans="1:19" ht="14" x14ac:dyDescent="0.4">
      <c r="A8" s="280">
        <v>1</v>
      </c>
      <c r="B8" s="276" t="s">
        <v>590</v>
      </c>
    </row>
    <row r="9" spans="1:19" ht="14" x14ac:dyDescent="0.4">
      <c r="C9" s="274"/>
    </row>
    <row r="10" spans="1:19" ht="15" x14ac:dyDescent="0.4">
      <c r="C10" s="274" t="s">
        <v>591</v>
      </c>
    </row>
    <row r="11" spans="1:19" ht="14" x14ac:dyDescent="0.4">
      <c r="C11" s="274" t="s">
        <v>592</v>
      </c>
    </row>
    <row r="12" spans="1:19" ht="14" x14ac:dyDescent="0.4">
      <c r="B12" s="274" t="s">
        <v>461</v>
      </c>
      <c r="C12" s="277" t="s">
        <v>593</v>
      </c>
    </row>
    <row r="13" spans="1:19" ht="14" x14ac:dyDescent="0.4">
      <c r="B13" s="274" t="s">
        <v>485</v>
      </c>
      <c r="C13" s="277" t="s">
        <v>594</v>
      </c>
    </row>
    <row r="14" spans="1:19" ht="14" x14ac:dyDescent="0.4">
      <c r="B14" s="274" t="s">
        <v>491</v>
      </c>
      <c r="C14" s="277" t="s">
        <v>595</v>
      </c>
    </row>
    <row r="15" spans="1:19" ht="14" x14ac:dyDescent="0.4">
      <c r="C15" s="274"/>
    </row>
    <row r="16" spans="1:19" ht="14" x14ac:dyDescent="0.4">
      <c r="C16" s="274"/>
    </row>
    <row r="17" spans="1:3" ht="14" x14ac:dyDescent="0.4">
      <c r="A17" s="280">
        <v>2</v>
      </c>
      <c r="B17" s="276" t="s">
        <v>596</v>
      </c>
      <c r="C17" s="274"/>
    </row>
    <row r="18" spans="1:3" ht="14" x14ac:dyDescent="0.4">
      <c r="C18" s="274"/>
    </row>
    <row r="19" spans="1:3" ht="14" x14ac:dyDescent="0.4">
      <c r="B19" s="274" t="s">
        <v>461</v>
      </c>
      <c r="C19" s="276" t="s">
        <v>597</v>
      </c>
    </row>
    <row r="20" spans="1:3" ht="14" x14ac:dyDescent="0.4">
      <c r="C20" s="274"/>
    </row>
    <row r="21" spans="1:3" ht="15" x14ac:dyDescent="0.4">
      <c r="C21" s="274" t="s">
        <v>598</v>
      </c>
    </row>
    <row r="22" spans="1:3" ht="14" x14ac:dyDescent="0.4">
      <c r="C22" s="274" t="s">
        <v>599</v>
      </c>
    </row>
    <row r="23" spans="1:3" ht="14" x14ac:dyDescent="0.4">
      <c r="C23" s="274" t="s">
        <v>600</v>
      </c>
    </row>
    <row r="24" spans="1:3" ht="14" x14ac:dyDescent="0.4">
      <c r="C24" s="274" t="s">
        <v>601</v>
      </c>
    </row>
    <row r="25" spans="1:3" ht="14" x14ac:dyDescent="0.4">
      <c r="C25" s="274" t="s">
        <v>602</v>
      </c>
    </row>
    <row r="26" spans="1:3" ht="14" x14ac:dyDescent="0.4">
      <c r="C26" s="274"/>
    </row>
    <row r="27" spans="1:3" ht="14" x14ac:dyDescent="0.4">
      <c r="C27" s="274"/>
    </row>
    <row r="28" spans="1:3" ht="14" x14ac:dyDescent="0.4"/>
    <row r="29" spans="1:3" ht="14" x14ac:dyDescent="0.4">
      <c r="B29" s="274" t="s">
        <v>485</v>
      </c>
      <c r="C29" s="276" t="s">
        <v>603</v>
      </c>
    </row>
    <row r="30" spans="1:3" ht="14" x14ac:dyDescent="0.4">
      <c r="C30" s="274"/>
    </row>
    <row r="31" spans="1:3" ht="15" x14ac:dyDescent="0.4">
      <c r="C31" s="274" t="s">
        <v>604</v>
      </c>
    </row>
    <row r="32" spans="1:3" ht="14" x14ac:dyDescent="0.4">
      <c r="C32" s="274" t="s">
        <v>605</v>
      </c>
    </row>
    <row r="33" spans="2:3" ht="14" x14ac:dyDescent="0.4">
      <c r="C33" s="274" t="s">
        <v>606</v>
      </c>
    </row>
    <row r="34" spans="2:3" ht="14" x14ac:dyDescent="0.4">
      <c r="C34" s="274"/>
    </row>
    <row r="35" spans="2:3" ht="14" x14ac:dyDescent="0.4">
      <c r="C35" s="274"/>
    </row>
    <row r="36" spans="2:3" ht="14" x14ac:dyDescent="0.4">
      <c r="B36" s="274" t="s">
        <v>491</v>
      </c>
      <c r="C36" s="276" t="s">
        <v>607</v>
      </c>
    </row>
    <row r="37" spans="2:3" ht="14" x14ac:dyDescent="0.4">
      <c r="C37" s="274"/>
    </row>
    <row r="38" spans="2:3" ht="15" x14ac:dyDescent="0.4">
      <c r="C38" s="274" t="s">
        <v>608</v>
      </c>
    </row>
    <row r="39" spans="2:3" ht="14" x14ac:dyDescent="0.4">
      <c r="C39" s="274"/>
    </row>
    <row r="40" spans="2:3" ht="14" x14ac:dyDescent="0.4">
      <c r="C40" s="274"/>
    </row>
    <row r="41" spans="2:3" ht="14" x14ac:dyDescent="0.4">
      <c r="B41" s="274" t="s">
        <v>576</v>
      </c>
      <c r="C41" s="276" t="s">
        <v>609</v>
      </c>
    </row>
    <row r="42" spans="2:3" ht="14" x14ac:dyDescent="0.4">
      <c r="C42" s="274"/>
    </row>
    <row r="43" spans="2:3" ht="15" x14ac:dyDescent="0.4">
      <c r="C43" s="274" t="s">
        <v>610</v>
      </c>
    </row>
    <row r="44" spans="2:3" ht="14" x14ac:dyDescent="0.4">
      <c r="C44" s="274" t="s">
        <v>611</v>
      </c>
    </row>
    <row r="45" spans="2:3" ht="14" x14ac:dyDescent="0.4">
      <c r="C45" s="274"/>
    </row>
    <row r="46" spans="2:3" ht="14" x14ac:dyDescent="0.4">
      <c r="C46" s="274"/>
    </row>
    <row r="47" spans="2:3" ht="14" x14ac:dyDescent="0.4">
      <c r="B47" s="274" t="s">
        <v>578</v>
      </c>
      <c r="C47" s="276" t="s">
        <v>612</v>
      </c>
    </row>
    <row r="48" spans="2:3" ht="14" x14ac:dyDescent="0.4">
      <c r="C48" s="274"/>
    </row>
    <row r="49" spans="2:3" ht="15" x14ac:dyDescent="0.4">
      <c r="C49" s="274" t="s">
        <v>613</v>
      </c>
    </row>
    <row r="50" spans="2:3" ht="14" x14ac:dyDescent="0.4">
      <c r="C50" s="274" t="s">
        <v>614</v>
      </c>
    </row>
    <row r="51" spans="2:3" ht="14" x14ac:dyDescent="0.4">
      <c r="C51" s="274"/>
    </row>
    <row r="52" spans="2:3" ht="14" x14ac:dyDescent="0.4">
      <c r="C52" s="274"/>
    </row>
    <row r="53" spans="2:3" ht="14" x14ac:dyDescent="0.4">
      <c r="B53" s="274" t="s">
        <v>578</v>
      </c>
      <c r="C53" s="276" t="s">
        <v>615</v>
      </c>
    </row>
    <row r="54" spans="2:3" ht="14" x14ac:dyDescent="0.4">
      <c r="C54" s="274"/>
    </row>
    <row r="55" spans="2:3" ht="15" x14ac:dyDescent="0.4">
      <c r="C55" s="274" t="s">
        <v>616</v>
      </c>
    </row>
    <row r="56" spans="2:3" ht="14" x14ac:dyDescent="0.4">
      <c r="C56" s="274" t="s">
        <v>617</v>
      </c>
    </row>
    <row r="57" spans="2:3" ht="14" x14ac:dyDescent="0.4">
      <c r="C57" s="274"/>
    </row>
    <row r="58" spans="2:3" ht="14" x14ac:dyDescent="0.4"/>
    <row r="59" spans="2:3" ht="14" x14ac:dyDescent="0.4">
      <c r="B59" s="274" t="s">
        <v>580</v>
      </c>
      <c r="C59" s="278" t="s">
        <v>618</v>
      </c>
    </row>
    <row r="60" spans="2:3" ht="14" x14ac:dyDescent="0.4"/>
    <row r="61" spans="2:3" ht="15" x14ac:dyDescent="0.4">
      <c r="C61" s="274" t="s">
        <v>619</v>
      </c>
    </row>
    <row r="62" spans="2:3" ht="14" x14ac:dyDescent="0.4">
      <c r="C62" s="274" t="s">
        <v>620</v>
      </c>
    </row>
    <row r="63" spans="2:3" ht="14" x14ac:dyDescent="0.4">
      <c r="C63" s="274"/>
    </row>
    <row r="64" spans="2:3" ht="14" x14ac:dyDescent="0.4">
      <c r="C64" s="274"/>
    </row>
    <row r="65" spans="1:7" ht="14" x14ac:dyDescent="0.4">
      <c r="B65" s="274" t="s">
        <v>582</v>
      </c>
      <c r="C65" s="276" t="s">
        <v>621</v>
      </c>
    </row>
    <row r="66" spans="1:7" ht="14" x14ac:dyDescent="0.4">
      <c r="C66" s="274"/>
    </row>
    <row r="67" spans="1:7" ht="15" x14ac:dyDescent="0.4">
      <c r="C67" s="274" t="s">
        <v>622</v>
      </c>
    </row>
    <row r="68" spans="1:7" ht="14" x14ac:dyDescent="0.4">
      <c r="C68" s="274"/>
    </row>
    <row r="69" spans="1:7" ht="14" x14ac:dyDescent="0.4">
      <c r="C69" s="274"/>
    </row>
    <row r="70" spans="1:7" ht="14" x14ac:dyDescent="0.4">
      <c r="A70" s="280">
        <v>3</v>
      </c>
      <c r="B70" s="276" t="s">
        <v>623</v>
      </c>
      <c r="C70" s="274"/>
    </row>
    <row r="71" spans="1:7" ht="14" x14ac:dyDescent="0.4">
      <c r="C71" s="274"/>
    </row>
    <row r="72" spans="1:7" ht="14" x14ac:dyDescent="0.4">
      <c r="B72" s="274" t="s">
        <v>461</v>
      </c>
      <c r="C72" s="277" t="s">
        <v>624</v>
      </c>
      <c r="G72" s="276" t="s">
        <v>625</v>
      </c>
    </row>
    <row r="73" spans="1:7" ht="14" x14ac:dyDescent="0.4">
      <c r="C73" s="277"/>
      <c r="G73" s="276"/>
    </row>
    <row r="74" spans="1:7" ht="14" x14ac:dyDescent="0.4">
      <c r="B74" s="274" t="s">
        <v>485</v>
      </c>
      <c r="C74" s="277" t="s">
        <v>626</v>
      </c>
      <c r="G74" s="276" t="s">
        <v>627</v>
      </c>
    </row>
    <row r="75" spans="1:7" ht="14" x14ac:dyDescent="0.4">
      <c r="C75" s="274"/>
    </row>
    <row r="76" spans="1:7" ht="14" x14ac:dyDescent="0.4">
      <c r="A76" s="280">
        <v>4</v>
      </c>
      <c r="B76" s="276" t="s">
        <v>628</v>
      </c>
      <c r="C76" s="274"/>
    </row>
    <row r="77" spans="1:7" ht="14" x14ac:dyDescent="0.4">
      <c r="C77" s="274"/>
    </row>
    <row r="78" spans="1:7" ht="14" x14ac:dyDescent="0.4">
      <c r="B78" s="274" t="s">
        <v>461</v>
      </c>
      <c r="C78" s="277" t="s">
        <v>629</v>
      </c>
      <c r="G78" s="276" t="s">
        <v>630</v>
      </c>
    </row>
    <row r="79" spans="1:7" ht="14" x14ac:dyDescent="0.4">
      <c r="C79" s="277"/>
      <c r="G79" s="276"/>
    </row>
    <row r="80" spans="1:7" ht="14" x14ac:dyDescent="0.4">
      <c r="B80" s="274" t="s">
        <v>485</v>
      </c>
      <c r="C80" s="277" t="s">
        <v>631</v>
      </c>
      <c r="G80" s="276" t="s">
        <v>632</v>
      </c>
    </row>
    <row r="81" spans="1:7" ht="14" x14ac:dyDescent="0.4">
      <c r="C81" s="277"/>
      <c r="G81" s="276"/>
    </row>
    <row r="82" spans="1:7" ht="14" x14ac:dyDescent="0.4">
      <c r="B82" s="274" t="s">
        <v>491</v>
      </c>
      <c r="C82" s="277" t="s">
        <v>633</v>
      </c>
      <c r="G82" s="276" t="s">
        <v>634</v>
      </c>
    </row>
    <row r="83" spans="1:7" ht="14" x14ac:dyDescent="0.4">
      <c r="C83" s="274"/>
    </row>
    <row r="84" spans="1:7" ht="14" x14ac:dyDescent="0.4">
      <c r="A84" s="280">
        <v>5</v>
      </c>
      <c r="B84" s="276" t="s">
        <v>635</v>
      </c>
      <c r="C84" s="274"/>
    </row>
    <row r="85" spans="1:7" ht="14" x14ac:dyDescent="0.4">
      <c r="C85" s="274"/>
    </row>
    <row r="86" spans="1:7" ht="14" x14ac:dyDescent="0.4">
      <c r="B86" s="274" t="s">
        <v>461</v>
      </c>
      <c r="C86" s="277" t="s">
        <v>636</v>
      </c>
      <c r="G86" s="276" t="s">
        <v>637</v>
      </c>
    </row>
    <row r="87" spans="1:7" ht="14" x14ac:dyDescent="0.4">
      <c r="C87" s="277"/>
      <c r="G87" s="276"/>
    </row>
    <row r="88" spans="1:7" ht="14" x14ac:dyDescent="0.4">
      <c r="B88" s="274" t="s">
        <v>485</v>
      </c>
      <c r="C88" s="277" t="s">
        <v>638</v>
      </c>
      <c r="G88" s="276" t="s">
        <v>639</v>
      </c>
    </row>
    <row r="89" spans="1:7" ht="14" x14ac:dyDescent="0.4">
      <c r="C89" s="277"/>
      <c r="G89" s="276"/>
    </row>
    <row r="90" spans="1:7" ht="14" x14ac:dyDescent="0.4">
      <c r="B90" s="274" t="s">
        <v>491</v>
      </c>
      <c r="C90" s="277" t="s">
        <v>640</v>
      </c>
      <c r="G90" s="276" t="s">
        <v>641</v>
      </c>
    </row>
    <row r="91" spans="1:7" ht="14" x14ac:dyDescent="0.4">
      <c r="C91" s="277"/>
      <c r="G91" s="276"/>
    </row>
    <row r="92" spans="1:7" ht="14" x14ac:dyDescent="0.4">
      <c r="B92" s="274" t="s">
        <v>576</v>
      </c>
      <c r="C92" s="277" t="s">
        <v>642</v>
      </c>
      <c r="G92" s="276" t="s">
        <v>643</v>
      </c>
    </row>
    <row r="93" spans="1:7" ht="14" x14ac:dyDescent="0.4">
      <c r="C93" s="277"/>
      <c r="G93" s="276"/>
    </row>
    <row r="94" spans="1:7" ht="14" x14ac:dyDescent="0.4">
      <c r="B94" s="274" t="s">
        <v>578</v>
      </c>
      <c r="C94" s="277" t="s">
        <v>644</v>
      </c>
      <c r="G94" s="276" t="s">
        <v>645</v>
      </c>
    </row>
    <row r="95" spans="1:7" ht="14" x14ac:dyDescent="0.4">
      <c r="C95" s="274"/>
    </row>
    <row r="96" spans="1:7" ht="14" x14ac:dyDescent="0.4">
      <c r="B96" s="274" t="s">
        <v>580</v>
      </c>
      <c r="C96" s="274" t="s">
        <v>646</v>
      </c>
    </row>
    <row r="97" spans="1:7" ht="14" x14ac:dyDescent="0.4"/>
    <row r="98" spans="1:7" ht="14" x14ac:dyDescent="0.4">
      <c r="C98" s="279" t="s">
        <v>647</v>
      </c>
      <c r="G98" s="276" t="s">
        <v>347</v>
      </c>
    </row>
    <row r="99" spans="1:7" ht="14" x14ac:dyDescent="0.4">
      <c r="C99" s="279" t="s">
        <v>648</v>
      </c>
      <c r="G99" s="276" t="s">
        <v>349</v>
      </c>
    </row>
    <row r="100" spans="1:7" ht="14" x14ac:dyDescent="0.4">
      <c r="C100" s="279" t="s">
        <v>649</v>
      </c>
      <c r="G100" s="276" t="s">
        <v>351</v>
      </c>
    </row>
    <row r="101" spans="1:7" ht="14" x14ac:dyDescent="0.4">
      <c r="C101" s="279" t="s">
        <v>308</v>
      </c>
      <c r="G101" s="276" t="s">
        <v>353</v>
      </c>
    </row>
    <row r="102" spans="1:7" ht="14" x14ac:dyDescent="0.4">
      <c r="C102" s="279" t="s">
        <v>650</v>
      </c>
      <c r="G102" s="276" t="s">
        <v>355</v>
      </c>
    </row>
    <row r="103" spans="1:7" ht="14" x14ac:dyDescent="0.4">
      <c r="C103" s="279" t="s">
        <v>651</v>
      </c>
      <c r="G103" s="276" t="s">
        <v>357</v>
      </c>
    </row>
    <row r="104" spans="1:7" ht="14" x14ac:dyDescent="0.4">
      <c r="C104" s="279" t="s">
        <v>652</v>
      </c>
      <c r="G104" s="276" t="s">
        <v>359</v>
      </c>
    </row>
    <row r="105" spans="1:7" ht="14" x14ac:dyDescent="0.4">
      <c r="B105" s="276"/>
      <c r="C105" s="274"/>
    </row>
    <row r="106" spans="1:7" ht="14" x14ac:dyDescent="0.4">
      <c r="C106" s="274"/>
    </row>
    <row r="107" spans="1:7" ht="14" x14ac:dyDescent="0.4">
      <c r="A107" s="280">
        <v>6</v>
      </c>
      <c r="B107" s="276" t="s">
        <v>653</v>
      </c>
      <c r="C107" s="274"/>
    </row>
    <row r="108" spans="1:7" ht="14" x14ac:dyDescent="0.4">
      <c r="C108" s="274"/>
    </row>
    <row r="109" spans="1:7" ht="15" x14ac:dyDescent="0.4">
      <c r="B109" s="274" t="s">
        <v>461</v>
      </c>
      <c r="C109" s="274" t="s">
        <v>654</v>
      </c>
    </row>
    <row r="110" spans="1:7" ht="14" x14ac:dyDescent="0.4">
      <c r="C110" s="274"/>
    </row>
    <row r="111" spans="1:7" ht="15" x14ac:dyDescent="0.4">
      <c r="B111" s="274" t="s">
        <v>485</v>
      </c>
      <c r="C111" s="274" t="s">
        <v>655</v>
      </c>
    </row>
    <row r="112" spans="1:7" ht="14" x14ac:dyDescent="0.4">
      <c r="C112" s="274"/>
    </row>
    <row r="113" spans="1:3" ht="14" x14ac:dyDescent="0.4">
      <c r="C113" s="274"/>
    </row>
    <row r="114" spans="1:3" ht="14" x14ac:dyDescent="0.4">
      <c r="A114" s="280">
        <v>7</v>
      </c>
      <c r="B114" s="276" t="s">
        <v>656</v>
      </c>
      <c r="C114" s="274"/>
    </row>
    <row r="115" spans="1:3" ht="14" x14ac:dyDescent="0.4">
      <c r="C115" s="274"/>
    </row>
    <row r="116" spans="1:3" ht="15" x14ac:dyDescent="0.4">
      <c r="B116" s="274" t="s">
        <v>461</v>
      </c>
      <c r="C116" s="274" t="s">
        <v>657</v>
      </c>
    </row>
    <row r="117" spans="1:3" ht="14" x14ac:dyDescent="0.4">
      <c r="C117" s="274"/>
    </row>
    <row r="118" spans="1:3" ht="15" x14ac:dyDescent="0.4">
      <c r="B118" s="274" t="s">
        <v>485</v>
      </c>
      <c r="C118" s="274" t="s">
        <v>658</v>
      </c>
    </row>
    <row r="119" spans="1:3" ht="14" x14ac:dyDescent="0.4"/>
    <row r="120" spans="1:3" ht="14" x14ac:dyDescent="0.4"/>
    <row r="121" spans="1:3" ht="14" x14ac:dyDescent="0.4"/>
    <row r="122" spans="1:3" ht="14" x14ac:dyDescent="0.4">
      <c r="A122" s="280">
        <v>8</v>
      </c>
      <c r="B122" s="276" t="s">
        <v>659</v>
      </c>
      <c r="C122" s="274"/>
    </row>
    <row r="123" spans="1:3" ht="14" x14ac:dyDescent="0.4">
      <c r="C123" s="274"/>
    </row>
    <row r="124" spans="1:3" ht="14" x14ac:dyDescent="0.4">
      <c r="C124" s="274" t="s">
        <v>660</v>
      </c>
    </row>
    <row r="125" spans="1:3" ht="14" x14ac:dyDescent="0.4">
      <c r="C125" s="274"/>
    </row>
    <row r="126" spans="1:3" ht="14" x14ac:dyDescent="0.4">
      <c r="C126" s="274" t="s">
        <v>661</v>
      </c>
    </row>
    <row r="127" spans="1:3" ht="14" x14ac:dyDescent="0.4">
      <c r="C127" s="274"/>
    </row>
    <row r="128" spans="1:3" ht="15" x14ac:dyDescent="0.4">
      <c r="B128" s="274" t="s">
        <v>461</v>
      </c>
      <c r="C128" s="274" t="s">
        <v>662</v>
      </c>
    </row>
    <row r="129" spans="1:3" ht="14" x14ac:dyDescent="0.4">
      <c r="C129" s="274"/>
    </row>
    <row r="130" spans="1:3" ht="15" x14ac:dyDescent="0.4">
      <c r="B130" s="274" t="s">
        <v>485</v>
      </c>
      <c r="C130" s="274" t="s">
        <v>663</v>
      </c>
    </row>
    <row r="131" spans="1:3" ht="14" x14ac:dyDescent="0.4">
      <c r="C131" s="274"/>
    </row>
    <row r="132" spans="1:3" ht="15" x14ac:dyDescent="0.4">
      <c r="B132" s="274" t="s">
        <v>491</v>
      </c>
      <c r="C132" s="274" t="s">
        <v>664</v>
      </c>
    </row>
    <row r="133" spans="1:3" ht="14" x14ac:dyDescent="0.4">
      <c r="C133" s="274"/>
    </row>
    <row r="134" spans="1:3" ht="15" x14ac:dyDescent="0.4">
      <c r="B134" s="274" t="s">
        <v>576</v>
      </c>
      <c r="C134" s="274" t="s">
        <v>665</v>
      </c>
    </row>
    <row r="135" spans="1:3" ht="14" x14ac:dyDescent="0.4">
      <c r="C135" s="274"/>
    </row>
    <row r="136" spans="1:3" ht="14" x14ac:dyDescent="0.4">
      <c r="C136" s="274"/>
    </row>
    <row r="137" spans="1:3" ht="14" x14ac:dyDescent="0.4">
      <c r="A137" s="280">
        <v>9</v>
      </c>
      <c r="B137" s="276" t="s">
        <v>666</v>
      </c>
    </row>
    <row r="138" spans="1:3" ht="14" x14ac:dyDescent="0.4"/>
    <row r="139" spans="1:3" ht="15" x14ac:dyDescent="0.4">
      <c r="B139" s="274" t="s">
        <v>461</v>
      </c>
      <c r="C139" s="277" t="s">
        <v>667</v>
      </c>
    </row>
    <row r="140" spans="1:3" ht="14" x14ac:dyDescent="0.4"/>
    <row r="141" spans="1:3" ht="15" x14ac:dyDescent="0.4">
      <c r="B141" s="274" t="s">
        <v>485</v>
      </c>
      <c r="C141" s="277" t="s">
        <v>668</v>
      </c>
    </row>
    <row r="142" spans="1:3" ht="14" collapsed="1" x14ac:dyDescent="0.4">
      <c r="C142" s="274"/>
    </row>
    <row r="143" spans="1:3" ht="14" x14ac:dyDescent="0.4">
      <c r="C143" s="274"/>
    </row>
    <row r="144" spans="1:3" ht="14" x14ac:dyDescent="0.4">
      <c r="A144" s="280">
        <v>10</v>
      </c>
      <c r="B144" s="276" t="s">
        <v>669</v>
      </c>
      <c r="C144" s="274"/>
    </row>
    <row r="145" spans="1:3" ht="14" x14ac:dyDescent="0.4">
      <c r="C145" s="274"/>
    </row>
    <row r="146" spans="1:3" ht="15" x14ac:dyDescent="0.4">
      <c r="B146" s="274" t="s">
        <v>461</v>
      </c>
      <c r="C146" s="277" t="s">
        <v>667</v>
      </c>
    </row>
    <row r="147" spans="1:3" ht="14" x14ac:dyDescent="0.4">
      <c r="C147" s="274"/>
    </row>
    <row r="148" spans="1:3" ht="15" x14ac:dyDescent="0.4">
      <c r="B148" s="274" t="s">
        <v>485</v>
      </c>
      <c r="C148" s="274" t="s">
        <v>670</v>
      </c>
    </row>
    <row r="149" spans="1:3" ht="14" x14ac:dyDescent="0.4">
      <c r="C149" s="274"/>
    </row>
    <row r="150" spans="1:3" ht="14" x14ac:dyDescent="0.4">
      <c r="C150" s="274"/>
    </row>
    <row r="151" spans="1:3" ht="14" x14ac:dyDescent="0.4">
      <c r="A151" s="280">
        <v>11</v>
      </c>
      <c r="B151" s="276" t="s">
        <v>671</v>
      </c>
      <c r="C151" s="274"/>
    </row>
    <row r="152" spans="1:3" ht="14" x14ac:dyDescent="0.4">
      <c r="C152" s="274"/>
    </row>
    <row r="153" spans="1:3" ht="14" x14ac:dyDescent="0.4">
      <c r="B153" s="274" t="s">
        <v>461</v>
      </c>
      <c r="C153" s="274" t="s">
        <v>672</v>
      </c>
    </row>
    <row r="154" spans="1:3" ht="14" x14ac:dyDescent="0.4">
      <c r="C154" s="274"/>
    </row>
    <row r="155" spans="1:3" ht="14" x14ac:dyDescent="0.4">
      <c r="B155" s="274" t="s">
        <v>485</v>
      </c>
      <c r="C155" s="274" t="s">
        <v>673</v>
      </c>
    </row>
    <row r="156" spans="1:3" ht="14" x14ac:dyDescent="0.4">
      <c r="C156" s="274"/>
    </row>
    <row r="157" spans="1:3" ht="14" x14ac:dyDescent="0.4">
      <c r="B157" s="274" t="s">
        <v>491</v>
      </c>
      <c r="C157" s="274" t="s">
        <v>674</v>
      </c>
    </row>
    <row r="158" spans="1:3" ht="14" x14ac:dyDescent="0.4">
      <c r="C158" s="274"/>
    </row>
    <row r="159" spans="1:3" ht="15" x14ac:dyDescent="0.4">
      <c r="B159" s="274" t="s">
        <v>576</v>
      </c>
      <c r="C159" s="274" t="s">
        <v>675</v>
      </c>
    </row>
    <row r="160" spans="1:3" ht="14" x14ac:dyDescent="0.4">
      <c r="C160" s="274"/>
    </row>
    <row r="161" spans="1:3" ht="14" x14ac:dyDescent="0.4">
      <c r="C161" s="274"/>
    </row>
    <row r="162" spans="1:3" ht="14" x14ac:dyDescent="0.4">
      <c r="A162" s="280">
        <v>12</v>
      </c>
      <c r="B162" s="276" t="s">
        <v>676</v>
      </c>
      <c r="C162" s="274"/>
    </row>
    <row r="163" spans="1:3" ht="14" x14ac:dyDescent="0.4">
      <c r="C163" s="274"/>
    </row>
    <row r="164" spans="1:3" ht="15" x14ac:dyDescent="0.4">
      <c r="B164" s="274" t="s">
        <v>461</v>
      </c>
      <c r="C164" s="274" t="s">
        <v>677</v>
      </c>
    </row>
    <row r="165" spans="1:3" ht="14" x14ac:dyDescent="0.4">
      <c r="C165" s="274"/>
    </row>
    <row r="166" spans="1:3" ht="15" x14ac:dyDescent="0.4">
      <c r="B166" s="274" t="s">
        <v>485</v>
      </c>
      <c r="C166" s="274" t="s">
        <v>678</v>
      </c>
    </row>
    <row r="167" spans="1:3" ht="14" x14ac:dyDescent="0.4">
      <c r="C167" s="274"/>
    </row>
    <row r="168" spans="1:3" ht="14" x14ac:dyDescent="0.4">
      <c r="C168" s="274"/>
    </row>
    <row r="169" spans="1:3" ht="14" x14ac:dyDescent="0.4">
      <c r="C169" s="274"/>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F78B3-1AFE-44AB-8951-DEAC2DF7A118}">
  <sheetPr codeName="Sheet23">
    <tabColor rgb="FF00B050"/>
  </sheetPr>
  <dimension ref="A2:T124"/>
  <sheetViews>
    <sheetView showGridLines="0" workbookViewId="0">
      <selection activeCell="B2" sqref="B2"/>
    </sheetView>
  </sheetViews>
  <sheetFormatPr defaultColWidth="10" defaultRowHeight="14.5" x14ac:dyDescent="0.35"/>
  <cols>
    <col min="1" max="1" width="3" bestFit="1" customWidth="1"/>
    <col min="2" max="2" width="2.453125" customWidth="1"/>
    <col min="3" max="3" width="26.453125" customWidth="1"/>
    <col min="4" max="6" width="2.453125" customWidth="1"/>
    <col min="7" max="7" width="11" customWidth="1"/>
    <col min="8" max="9" width="8" customWidth="1"/>
    <col min="10" max="10" width="1.453125" customWidth="1"/>
    <col min="11" max="11" width="6.81640625" customWidth="1"/>
    <col min="12" max="12" width="8" customWidth="1"/>
    <col min="13" max="13" width="10" customWidth="1"/>
    <col min="14" max="14" width="8" customWidth="1"/>
    <col min="15" max="15" width="3" customWidth="1"/>
    <col min="16" max="17" width="32.26953125" customWidth="1"/>
    <col min="18" max="18" width="8" customWidth="1"/>
  </cols>
  <sheetData>
    <row r="2" spans="1:20" ht="16" x14ac:dyDescent="0.45">
      <c r="A2" s="25"/>
      <c r="B2" s="126"/>
      <c r="C2" s="126"/>
      <c r="D2" s="126"/>
      <c r="E2" s="126"/>
      <c r="F2" s="126"/>
      <c r="G2" s="126"/>
      <c r="H2" s="126"/>
      <c r="I2" s="126"/>
      <c r="J2" s="126"/>
      <c r="K2" s="126"/>
      <c r="L2" s="126"/>
      <c r="M2" s="126"/>
      <c r="N2" s="126"/>
      <c r="O2" s="126"/>
      <c r="P2" s="126"/>
      <c r="Q2" s="126"/>
      <c r="R2" s="126"/>
      <c r="S2" s="126"/>
      <c r="T2" s="126"/>
    </row>
    <row r="3" spans="1:20" ht="16" x14ac:dyDescent="0.45">
      <c r="A3" s="25"/>
      <c r="B3" s="127" t="s">
        <v>326</v>
      </c>
      <c r="C3" s="128"/>
      <c r="D3" s="126"/>
      <c r="E3" s="126"/>
      <c r="F3" s="126"/>
      <c r="G3" s="126"/>
      <c r="H3" s="126"/>
      <c r="I3" s="126"/>
      <c r="J3" s="126"/>
      <c r="K3" s="126"/>
      <c r="L3" s="126"/>
      <c r="M3" s="126"/>
      <c r="N3" s="126"/>
      <c r="O3" s="126"/>
      <c r="P3" s="126"/>
      <c r="Q3" s="126"/>
      <c r="R3" s="126"/>
      <c r="S3" s="126"/>
      <c r="T3" s="126"/>
    </row>
    <row r="4" spans="1:20" ht="16" x14ac:dyDescent="0.45">
      <c r="A4" s="25"/>
      <c r="B4" s="128" t="s">
        <v>364</v>
      </c>
      <c r="C4" s="126"/>
      <c r="D4" s="126"/>
      <c r="E4" s="126"/>
      <c r="F4" s="126"/>
      <c r="G4" s="126"/>
      <c r="H4" s="126"/>
      <c r="I4" s="126"/>
      <c r="J4" s="126"/>
      <c r="K4" s="126"/>
      <c r="L4" s="126"/>
      <c r="M4" s="126"/>
      <c r="N4" s="126"/>
      <c r="O4" s="126"/>
      <c r="P4" s="126"/>
      <c r="Q4" s="126"/>
      <c r="R4" s="126"/>
      <c r="S4" s="126"/>
      <c r="T4" s="126"/>
    </row>
    <row r="5" spans="1:20" ht="16" x14ac:dyDescent="0.45">
      <c r="A5" s="25"/>
      <c r="B5" s="128"/>
      <c r="C5" s="126"/>
      <c r="D5" s="126"/>
      <c r="E5" s="126"/>
      <c r="F5" s="126"/>
      <c r="G5" s="126"/>
      <c r="H5" s="126"/>
      <c r="I5" s="126"/>
      <c r="J5" s="126"/>
      <c r="K5" s="126"/>
      <c r="L5" s="126"/>
      <c r="M5" s="126"/>
      <c r="N5" s="126"/>
      <c r="O5" s="126"/>
      <c r="P5" s="126"/>
      <c r="Q5" s="126"/>
      <c r="R5" s="126"/>
      <c r="S5" s="126"/>
      <c r="T5" s="126"/>
    </row>
    <row r="8" spans="1:20" ht="15" x14ac:dyDescent="0.4">
      <c r="A8" s="233">
        <v>1</v>
      </c>
      <c r="B8" s="234" t="s">
        <v>426</v>
      </c>
      <c r="C8" s="235"/>
      <c r="D8" s="234"/>
    </row>
    <row r="9" spans="1:20" ht="15" x14ac:dyDescent="0.4">
      <c r="A9" s="236"/>
      <c r="C9" s="235"/>
      <c r="D9" s="234"/>
    </row>
    <row r="10" spans="1:20" ht="15" x14ac:dyDescent="0.4">
      <c r="A10" s="236"/>
      <c r="B10" t="s">
        <v>679</v>
      </c>
      <c r="C10" s="235"/>
      <c r="D10" s="234"/>
    </row>
    <row r="11" spans="1:20" ht="15" x14ac:dyDescent="0.4">
      <c r="A11" s="236"/>
      <c r="B11" t="s">
        <v>680</v>
      </c>
      <c r="C11" s="235"/>
      <c r="D11" s="234"/>
    </row>
    <row r="12" spans="1:20" ht="15" x14ac:dyDescent="0.4">
      <c r="A12" s="236"/>
      <c r="C12" s="235"/>
      <c r="D12" s="234"/>
    </row>
    <row r="13" spans="1:20" ht="15" x14ac:dyDescent="0.4">
      <c r="A13" s="236"/>
      <c r="B13" t="s">
        <v>427</v>
      </c>
      <c r="C13" s="235"/>
      <c r="D13" s="234"/>
    </row>
    <row r="14" spans="1:20" ht="15" x14ac:dyDescent="0.4">
      <c r="A14" s="236"/>
      <c r="C14" s="235"/>
      <c r="D14" s="234"/>
    </row>
    <row r="15" spans="1:20" ht="15" x14ac:dyDescent="0.4">
      <c r="A15" s="233">
        <v>2</v>
      </c>
      <c r="B15" s="234" t="s">
        <v>428</v>
      </c>
      <c r="C15" s="235"/>
      <c r="D15" s="234"/>
    </row>
    <row r="16" spans="1:20" ht="15" x14ac:dyDescent="0.4">
      <c r="A16" s="236"/>
      <c r="C16" s="235"/>
      <c r="D16" s="234"/>
    </row>
    <row r="17" spans="1:4" ht="15" x14ac:dyDescent="0.4">
      <c r="A17" s="236"/>
      <c r="B17" s="234" t="s">
        <v>429</v>
      </c>
      <c r="C17" s="235"/>
      <c r="D17" s="234"/>
    </row>
    <row r="18" spans="1:4" ht="15" x14ac:dyDescent="0.4">
      <c r="A18" s="236"/>
      <c r="C18" s="235"/>
      <c r="D18" s="234"/>
    </row>
    <row r="19" spans="1:4" ht="15" x14ac:dyDescent="0.4">
      <c r="A19" s="236"/>
      <c r="B19" s="237" t="s">
        <v>430</v>
      </c>
      <c r="C19" s="238"/>
      <c r="D19" s="234"/>
    </row>
    <row r="20" spans="1:4" ht="15" x14ac:dyDescent="0.4">
      <c r="A20" s="236"/>
      <c r="B20" s="237" t="s">
        <v>431</v>
      </c>
      <c r="C20" s="238"/>
      <c r="D20" s="234"/>
    </row>
    <row r="21" spans="1:4" ht="15" x14ac:dyDescent="0.4">
      <c r="A21" s="236"/>
      <c r="B21" s="237" t="s">
        <v>432</v>
      </c>
      <c r="C21" s="238"/>
      <c r="D21" s="234"/>
    </row>
    <row r="22" spans="1:4" ht="15" x14ac:dyDescent="0.4">
      <c r="A22" s="236"/>
      <c r="B22" s="237"/>
      <c r="C22" s="238"/>
      <c r="D22" s="234"/>
    </row>
    <row r="23" spans="1:4" ht="15" x14ac:dyDescent="0.4">
      <c r="A23" s="236"/>
      <c r="C23" s="237" t="s">
        <v>433</v>
      </c>
      <c r="D23" s="234"/>
    </row>
    <row r="24" spans="1:4" ht="15" x14ac:dyDescent="0.4">
      <c r="A24" s="236"/>
      <c r="C24" s="237" t="s">
        <v>434</v>
      </c>
      <c r="D24" s="234"/>
    </row>
    <row r="25" spans="1:4" ht="15" x14ac:dyDescent="0.4">
      <c r="A25" s="236"/>
      <c r="C25" s="237" t="s">
        <v>435</v>
      </c>
      <c r="D25" s="234"/>
    </row>
    <row r="26" spans="1:4" ht="15" x14ac:dyDescent="0.4">
      <c r="A26" s="236"/>
      <c r="C26" s="237"/>
      <c r="D26" s="234"/>
    </row>
    <row r="27" spans="1:4" ht="15" x14ac:dyDescent="0.4">
      <c r="A27" s="236"/>
      <c r="C27" s="238" t="s">
        <v>436</v>
      </c>
      <c r="D27" s="234"/>
    </row>
    <row r="28" spans="1:4" ht="15" x14ac:dyDescent="0.4">
      <c r="A28" s="236"/>
      <c r="C28" s="235"/>
      <c r="D28" s="234"/>
    </row>
    <row r="29" spans="1:4" ht="15" x14ac:dyDescent="0.4">
      <c r="A29" s="236"/>
      <c r="C29" s="237" t="s">
        <v>437</v>
      </c>
      <c r="D29" s="234"/>
    </row>
    <row r="30" spans="1:4" ht="15" x14ac:dyDescent="0.4">
      <c r="A30" s="236"/>
      <c r="C30" s="237" t="s">
        <v>438</v>
      </c>
      <c r="D30" s="234"/>
    </row>
    <row r="31" spans="1:4" ht="15" x14ac:dyDescent="0.4">
      <c r="A31" s="236"/>
      <c r="C31" s="237"/>
      <c r="D31" s="234"/>
    </row>
    <row r="32" spans="1:4" ht="15" x14ac:dyDescent="0.4">
      <c r="A32" s="236"/>
      <c r="C32" s="238" t="s">
        <v>439</v>
      </c>
      <c r="D32" s="234"/>
    </row>
    <row r="33" spans="1:4" ht="15" x14ac:dyDescent="0.4">
      <c r="A33" s="236"/>
      <c r="C33" s="235"/>
      <c r="D33" s="234"/>
    </row>
    <row r="34" spans="1:4" ht="15" x14ac:dyDescent="0.4">
      <c r="A34" s="236"/>
      <c r="B34" s="234" t="s">
        <v>440</v>
      </c>
      <c r="C34" s="235"/>
      <c r="D34" s="234"/>
    </row>
    <row r="35" spans="1:4" ht="15" x14ac:dyDescent="0.4">
      <c r="A35" s="236"/>
      <c r="C35" s="235"/>
      <c r="D35" s="234"/>
    </row>
    <row r="36" spans="1:4" ht="15" x14ac:dyDescent="0.4">
      <c r="A36" s="236"/>
      <c r="B36" s="237" t="s">
        <v>441</v>
      </c>
      <c r="C36" s="238"/>
      <c r="D36" s="234"/>
    </row>
    <row r="37" spans="1:4" ht="15" x14ac:dyDescent="0.4">
      <c r="A37" s="236"/>
      <c r="B37" s="237"/>
      <c r="C37" s="237" t="s">
        <v>442</v>
      </c>
      <c r="D37" s="234"/>
    </row>
    <row r="38" spans="1:4" ht="15" x14ac:dyDescent="0.4">
      <c r="A38" s="236"/>
      <c r="B38" s="237"/>
      <c r="C38" s="237" t="s">
        <v>443</v>
      </c>
      <c r="D38" s="234"/>
    </row>
    <row r="39" spans="1:4" ht="15" x14ac:dyDescent="0.4">
      <c r="A39" s="236"/>
      <c r="B39" s="237"/>
      <c r="C39" s="237"/>
      <c r="D39" s="234"/>
    </row>
    <row r="40" spans="1:4" ht="15" x14ac:dyDescent="0.4">
      <c r="A40" s="236"/>
      <c r="C40" s="237" t="s">
        <v>444</v>
      </c>
      <c r="D40" s="234"/>
    </row>
    <row r="41" spans="1:4" ht="15" x14ac:dyDescent="0.4">
      <c r="A41" s="236"/>
      <c r="C41" s="237" t="s">
        <v>445</v>
      </c>
      <c r="D41" s="234"/>
    </row>
    <row r="42" spans="1:4" ht="15" x14ac:dyDescent="0.4">
      <c r="A42" s="236"/>
      <c r="C42" s="237" t="s">
        <v>446</v>
      </c>
      <c r="D42" s="234"/>
    </row>
    <row r="43" spans="1:4" ht="15" x14ac:dyDescent="0.4">
      <c r="A43" s="236"/>
      <c r="C43" s="237" t="s">
        <v>447</v>
      </c>
    </row>
    <row r="44" spans="1:4" ht="15" x14ac:dyDescent="0.4">
      <c r="A44" s="236"/>
      <c r="C44" s="235"/>
    </row>
    <row r="45" spans="1:4" ht="15" x14ac:dyDescent="0.4">
      <c r="A45" s="236"/>
      <c r="C45" s="238" t="s">
        <v>448</v>
      </c>
    </row>
    <row r="46" spans="1:4" ht="15" x14ac:dyDescent="0.4">
      <c r="A46" s="236"/>
      <c r="C46" s="237" t="s">
        <v>449</v>
      </c>
    </row>
    <row r="47" spans="1:4" ht="15" x14ac:dyDescent="0.4">
      <c r="A47" s="236"/>
      <c r="C47" s="237" t="s">
        <v>450</v>
      </c>
    </row>
    <row r="48" spans="1:4" ht="15" x14ac:dyDescent="0.4">
      <c r="A48" s="236"/>
      <c r="C48" s="237" t="s">
        <v>451</v>
      </c>
      <c r="D48" s="234"/>
    </row>
    <row r="49" spans="1:4" ht="15" x14ac:dyDescent="0.4">
      <c r="A49" s="236"/>
      <c r="C49" s="237" t="s">
        <v>452</v>
      </c>
      <c r="D49" s="234"/>
    </row>
    <row r="50" spans="1:4" ht="15" x14ac:dyDescent="0.4">
      <c r="A50" s="236"/>
      <c r="C50" s="237" t="s">
        <v>453</v>
      </c>
      <c r="D50" s="234"/>
    </row>
    <row r="51" spans="1:4" ht="15" x14ac:dyDescent="0.4">
      <c r="A51" s="236"/>
      <c r="C51" s="237" t="s">
        <v>454</v>
      </c>
      <c r="D51" s="234"/>
    </row>
    <row r="52" spans="1:4" ht="15" x14ac:dyDescent="0.4">
      <c r="A52" s="236"/>
      <c r="C52" s="235"/>
      <c r="D52" s="234"/>
    </row>
    <row r="53" spans="1:4" ht="15" x14ac:dyDescent="0.4">
      <c r="A53" s="236"/>
      <c r="C53" s="235"/>
      <c r="D53" s="234"/>
    </row>
    <row r="54" spans="1:4" ht="15" x14ac:dyDescent="0.4">
      <c r="A54" s="233">
        <v>3</v>
      </c>
      <c r="B54" s="234" t="s">
        <v>455</v>
      </c>
      <c r="C54" s="238"/>
      <c r="D54" s="234"/>
    </row>
    <row r="55" spans="1:4" ht="15" x14ac:dyDescent="0.4">
      <c r="A55" s="236"/>
      <c r="C55" s="239"/>
      <c r="D55" s="234"/>
    </row>
    <row r="56" spans="1:4" ht="15" x14ac:dyDescent="0.4">
      <c r="A56" s="236"/>
      <c r="B56" t="s">
        <v>456</v>
      </c>
      <c r="C56" s="239"/>
      <c r="D56" s="234"/>
    </row>
    <row r="57" spans="1:4" ht="15" x14ac:dyDescent="0.4">
      <c r="A57" s="236"/>
      <c r="C57" s="239"/>
      <c r="D57" s="234"/>
    </row>
    <row r="58" spans="1:4" ht="15" x14ac:dyDescent="0.4">
      <c r="A58" s="236"/>
      <c r="B58" t="s">
        <v>457</v>
      </c>
      <c r="C58" s="239"/>
      <c r="D58" s="234"/>
    </row>
    <row r="59" spans="1:4" ht="15" x14ac:dyDescent="0.4">
      <c r="A59" s="236"/>
      <c r="C59" s="239"/>
      <c r="D59" s="234"/>
    </row>
    <row r="60" spans="1:4" ht="15" x14ac:dyDescent="0.4">
      <c r="A60" s="236"/>
      <c r="C60" s="239"/>
      <c r="D60" s="234"/>
    </row>
    <row r="61" spans="1:4" ht="15" x14ac:dyDescent="0.4">
      <c r="A61" s="233">
        <v>4</v>
      </c>
      <c r="B61" s="234" t="s">
        <v>458</v>
      </c>
      <c r="C61" s="239"/>
      <c r="D61" s="234"/>
    </row>
    <row r="62" spans="1:4" ht="15" x14ac:dyDescent="0.4">
      <c r="A62" s="236"/>
      <c r="C62" s="239"/>
      <c r="D62" s="234"/>
    </row>
    <row r="63" spans="1:4" ht="15" x14ac:dyDescent="0.4">
      <c r="A63" s="236"/>
      <c r="B63" t="s">
        <v>459</v>
      </c>
      <c r="C63" s="239"/>
      <c r="D63" s="234"/>
    </row>
    <row r="64" spans="1:4" ht="15" x14ac:dyDescent="0.4">
      <c r="A64" s="236"/>
      <c r="B64" t="s">
        <v>460</v>
      </c>
      <c r="C64" s="239"/>
      <c r="D64" s="234"/>
    </row>
    <row r="65" spans="1:4" ht="15" x14ac:dyDescent="0.4">
      <c r="A65" s="236"/>
      <c r="B65" s="234" t="s">
        <v>461</v>
      </c>
      <c r="C65" s="234" t="s">
        <v>462</v>
      </c>
      <c r="D65" s="239"/>
    </row>
    <row r="66" spans="1:4" x14ac:dyDescent="0.35">
      <c r="A66" s="236"/>
      <c r="D66" s="239"/>
    </row>
    <row r="67" spans="1:4" ht="15" x14ac:dyDescent="0.4">
      <c r="A67" s="236"/>
      <c r="B67" s="240" t="s">
        <v>463</v>
      </c>
      <c r="D67" s="239"/>
    </row>
    <row r="68" spans="1:4" x14ac:dyDescent="0.35">
      <c r="A68" s="236"/>
      <c r="D68" s="239"/>
    </row>
    <row r="69" spans="1:4" ht="15" x14ac:dyDescent="0.4">
      <c r="A69" s="236"/>
      <c r="C69" s="234" t="s">
        <v>464</v>
      </c>
      <c r="D69" s="239"/>
    </row>
    <row r="70" spans="1:4" ht="15" x14ac:dyDescent="0.4">
      <c r="A70" s="236"/>
      <c r="C70" s="234"/>
      <c r="D70" s="239"/>
    </row>
    <row r="71" spans="1:4" ht="15" x14ac:dyDescent="0.4">
      <c r="A71" s="236"/>
      <c r="C71" s="241" t="s">
        <v>465</v>
      </c>
      <c r="D71" s="239"/>
    </row>
    <row r="72" spans="1:4" x14ac:dyDescent="0.35">
      <c r="A72" s="236"/>
      <c r="D72" s="239"/>
    </row>
    <row r="73" spans="1:4" ht="15" x14ac:dyDescent="0.4">
      <c r="A73" s="236"/>
      <c r="C73" s="240" t="s">
        <v>466</v>
      </c>
      <c r="D73" s="239"/>
    </row>
    <row r="74" spans="1:4" ht="15" x14ac:dyDescent="0.4">
      <c r="A74" s="236"/>
      <c r="C74" s="240" t="s">
        <v>467</v>
      </c>
      <c r="D74" s="239"/>
    </row>
    <row r="75" spans="1:4" ht="15" x14ac:dyDescent="0.4">
      <c r="A75" s="236"/>
      <c r="C75" s="240" t="s">
        <v>468</v>
      </c>
      <c r="D75" s="239"/>
    </row>
    <row r="76" spans="1:4" x14ac:dyDescent="0.35">
      <c r="A76" s="236"/>
      <c r="D76" s="239"/>
    </row>
    <row r="77" spans="1:4" ht="15" x14ac:dyDescent="0.4">
      <c r="A77" s="236"/>
      <c r="C77" s="241" t="s">
        <v>469</v>
      </c>
      <c r="D77" s="239"/>
    </row>
    <row r="78" spans="1:4" x14ac:dyDescent="0.35">
      <c r="A78" s="236"/>
      <c r="D78" s="239"/>
    </row>
    <row r="79" spans="1:4" ht="15" x14ac:dyDescent="0.4">
      <c r="A79" s="236"/>
      <c r="C79" s="240" t="s">
        <v>470</v>
      </c>
      <c r="D79" s="239"/>
    </row>
    <row r="80" spans="1:4" ht="15" x14ac:dyDescent="0.4">
      <c r="A80" s="236"/>
      <c r="C80" s="240" t="s">
        <v>471</v>
      </c>
      <c r="D80" s="239"/>
    </row>
    <row r="81" spans="1:4" ht="15" x14ac:dyDescent="0.4">
      <c r="A81" s="236"/>
      <c r="C81" s="240" t="s">
        <v>472</v>
      </c>
      <c r="D81" s="239"/>
    </row>
    <row r="82" spans="1:4" x14ac:dyDescent="0.35">
      <c r="A82" s="236"/>
      <c r="D82" s="239"/>
    </row>
    <row r="83" spans="1:4" x14ac:dyDescent="0.35">
      <c r="A83" s="236"/>
      <c r="D83" s="239"/>
    </row>
    <row r="84" spans="1:4" ht="15" x14ac:dyDescent="0.4">
      <c r="A84" s="236"/>
      <c r="C84" s="241" t="s">
        <v>473</v>
      </c>
      <c r="D84" s="239"/>
    </row>
    <row r="85" spans="1:4" x14ac:dyDescent="0.35">
      <c r="A85" s="236"/>
      <c r="D85" s="239"/>
    </row>
    <row r="86" spans="1:4" ht="15" x14ac:dyDescent="0.4">
      <c r="A86" s="236"/>
      <c r="C86" s="240" t="s">
        <v>474</v>
      </c>
      <c r="D86" s="239"/>
    </row>
    <row r="87" spans="1:4" ht="15" x14ac:dyDescent="0.4">
      <c r="A87" s="236"/>
      <c r="C87" s="240" t="s">
        <v>475</v>
      </c>
      <c r="D87" s="239"/>
    </row>
    <row r="88" spans="1:4" x14ac:dyDescent="0.35">
      <c r="A88" s="236"/>
      <c r="D88" s="239"/>
    </row>
    <row r="89" spans="1:4" x14ac:dyDescent="0.35">
      <c r="A89" s="236"/>
      <c r="D89" s="239"/>
    </row>
    <row r="90" spans="1:4" ht="15" x14ac:dyDescent="0.4">
      <c r="A90" s="236"/>
      <c r="C90" s="234" t="s">
        <v>476</v>
      </c>
      <c r="D90" s="239"/>
    </row>
    <row r="91" spans="1:4" x14ac:dyDescent="0.35">
      <c r="A91" s="236"/>
      <c r="C91" t="s">
        <v>477</v>
      </c>
      <c r="D91" s="239"/>
    </row>
    <row r="92" spans="1:4" x14ac:dyDescent="0.35">
      <c r="A92" s="236"/>
      <c r="C92" t="s">
        <v>478</v>
      </c>
      <c r="D92" s="239"/>
    </row>
    <row r="93" spans="1:4" x14ac:dyDescent="0.35">
      <c r="A93" s="236"/>
      <c r="D93" s="239"/>
    </row>
    <row r="94" spans="1:4" ht="15" x14ac:dyDescent="0.4">
      <c r="A94" s="236"/>
      <c r="C94" s="234" t="s">
        <v>479</v>
      </c>
      <c r="D94" s="239"/>
    </row>
    <row r="95" spans="1:4" ht="15" x14ac:dyDescent="0.4">
      <c r="A95" s="236"/>
      <c r="C95" s="235"/>
      <c r="D95" s="239"/>
    </row>
    <row r="96" spans="1:4" ht="15" x14ac:dyDescent="0.4">
      <c r="A96" s="236"/>
      <c r="C96" t="s">
        <v>480</v>
      </c>
      <c r="D96" s="239"/>
    </row>
    <row r="97" spans="1:4" x14ac:dyDescent="0.35">
      <c r="A97" s="236"/>
      <c r="C97" t="s">
        <v>481</v>
      </c>
      <c r="D97" s="239"/>
    </row>
    <row r="98" spans="1:4" x14ac:dyDescent="0.35">
      <c r="A98" s="236"/>
      <c r="C98" t="s">
        <v>482</v>
      </c>
      <c r="D98" s="239"/>
    </row>
    <row r="99" spans="1:4" x14ac:dyDescent="0.35">
      <c r="A99" s="236"/>
      <c r="D99" s="239"/>
    </row>
    <row r="100" spans="1:4" x14ac:dyDescent="0.35">
      <c r="A100" s="236"/>
      <c r="C100" t="s">
        <v>483</v>
      </c>
      <c r="D100" s="239"/>
    </row>
    <row r="101" spans="1:4" x14ac:dyDescent="0.35">
      <c r="A101" s="236"/>
      <c r="C101" t="s">
        <v>484</v>
      </c>
      <c r="D101" s="239"/>
    </row>
    <row r="102" spans="1:4" x14ac:dyDescent="0.35">
      <c r="A102" s="236"/>
      <c r="D102" s="239"/>
    </row>
    <row r="103" spans="1:4" ht="15" x14ac:dyDescent="0.4">
      <c r="A103" s="236"/>
      <c r="B103" s="234" t="s">
        <v>485</v>
      </c>
      <c r="C103" s="234" t="s">
        <v>486</v>
      </c>
      <c r="D103" s="239"/>
    </row>
    <row r="104" spans="1:4" x14ac:dyDescent="0.35">
      <c r="A104" s="236"/>
      <c r="D104" s="239"/>
    </row>
    <row r="105" spans="1:4" ht="15" x14ac:dyDescent="0.4">
      <c r="A105" s="236"/>
      <c r="C105" s="240" t="s">
        <v>487</v>
      </c>
      <c r="D105" s="239"/>
    </row>
    <row r="106" spans="1:4" ht="15" x14ac:dyDescent="0.4">
      <c r="A106" s="236"/>
      <c r="C106" s="240" t="s">
        <v>488</v>
      </c>
      <c r="D106" s="239"/>
    </row>
    <row r="107" spans="1:4" x14ac:dyDescent="0.35">
      <c r="A107" s="236"/>
      <c r="D107" s="239"/>
    </row>
    <row r="108" spans="1:4" ht="15" x14ac:dyDescent="0.4">
      <c r="A108" s="236"/>
      <c r="C108" s="241" t="s">
        <v>489</v>
      </c>
      <c r="D108" s="239"/>
    </row>
    <row r="109" spans="1:4" ht="15" x14ac:dyDescent="0.4">
      <c r="A109" s="236"/>
      <c r="C109" s="241"/>
      <c r="D109" s="239"/>
    </row>
    <row r="110" spans="1:4" ht="15" x14ac:dyDescent="0.4">
      <c r="A110" s="236"/>
      <c r="C110" s="240" t="s">
        <v>490</v>
      </c>
      <c r="D110" s="239"/>
    </row>
    <row r="111" spans="1:4" x14ac:dyDescent="0.35">
      <c r="A111" s="236"/>
      <c r="D111" s="239"/>
    </row>
    <row r="112" spans="1:4" x14ac:dyDescent="0.35">
      <c r="A112" s="236"/>
      <c r="D112" s="239"/>
    </row>
    <row r="113" spans="1:4" ht="15" x14ac:dyDescent="0.4">
      <c r="A113" s="236"/>
      <c r="B113" s="234" t="s">
        <v>491</v>
      </c>
      <c r="C113" s="234" t="s">
        <v>492</v>
      </c>
      <c r="D113" s="239"/>
    </row>
    <row r="114" spans="1:4" ht="15" x14ac:dyDescent="0.4">
      <c r="A114" s="236"/>
      <c r="C114" s="239"/>
      <c r="D114" s="234"/>
    </row>
    <row r="115" spans="1:4" ht="15" x14ac:dyDescent="0.4">
      <c r="A115" s="236"/>
      <c r="C115" s="242" t="s">
        <v>493</v>
      </c>
      <c r="D115" s="234"/>
    </row>
    <row r="116" spans="1:4" ht="15" x14ac:dyDescent="0.4">
      <c r="A116" s="236"/>
      <c r="C116" s="242" t="s">
        <v>494</v>
      </c>
      <c r="D116" s="234"/>
    </row>
    <row r="117" spans="1:4" ht="15" x14ac:dyDescent="0.4">
      <c r="A117" s="236"/>
      <c r="C117" s="243"/>
      <c r="D117" s="234"/>
    </row>
    <row r="118" spans="1:4" ht="15" x14ac:dyDescent="0.4">
      <c r="A118" s="236"/>
      <c r="C118" s="244" t="s">
        <v>495</v>
      </c>
      <c r="D118" s="234"/>
    </row>
    <row r="119" spans="1:4" ht="15" x14ac:dyDescent="0.4">
      <c r="A119" s="236"/>
      <c r="C119" s="242" t="s">
        <v>496</v>
      </c>
      <c r="D119" s="234"/>
    </row>
    <row r="120" spans="1:4" ht="15" x14ac:dyDescent="0.4">
      <c r="A120" s="236"/>
      <c r="C120" s="242" t="s">
        <v>497</v>
      </c>
      <c r="D120" s="234"/>
    </row>
    <row r="121" spans="1:4" ht="15" x14ac:dyDescent="0.4">
      <c r="A121" s="236"/>
      <c r="C121" s="242" t="s">
        <v>498</v>
      </c>
      <c r="D121" s="234"/>
    </row>
    <row r="122" spans="1:4" ht="15" x14ac:dyDescent="0.4">
      <c r="A122" s="236"/>
      <c r="C122" s="242" t="s">
        <v>499</v>
      </c>
      <c r="D122" s="234"/>
    </row>
    <row r="123" spans="1:4" ht="15" x14ac:dyDescent="0.4">
      <c r="A123" s="236"/>
      <c r="C123" s="242" t="s">
        <v>500</v>
      </c>
      <c r="D123" s="234"/>
    </row>
    <row r="124" spans="1:4" ht="15" x14ac:dyDescent="0.4">
      <c r="A124" s="236"/>
      <c r="C124" s="239"/>
      <c r="D124" s="234"/>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A2243-6EED-4971-A4DF-CA1654DB8B7E}">
  <sheetPr codeName="Sheet24">
    <tabColor rgb="FF00B050"/>
  </sheetPr>
  <dimension ref="A2:T61"/>
  <sheetViews>
    <sheetView showGridLines="0" workbookViewId="0">
      <selection activeCell="B3" sqref="B3"/>
    </sheetView>
  </sheetViews>
  <sheetFormatPr defaultColWidth="8.54296875" defaultRowHeight="14.5" x14ac:dyDescent="0.35"/>
  <cols>
    <col min="1" max="1" width="3" bestFit="1" customWidth="1"/>
    <col min="2" max="2" width="2.453125" customWidth="1"/>
    <col min="3" max="3" width="26.453125" customWidth="1"/>
    <col min="4" max="6" width="2.453125" customWidth="1"/>
    <col min="7" max="7" width="11" customWidth="1"/>
    <col min="8" max="9" width="8" customWidth="1"/>
    <col min="10" max="10" width="1.453125" customWidth="1"/>
    <col min="11" max="11" width="6.81640625" customWidth="1"/>
    <col min="12" max="12" width="8" customWidth="1"/>
    <col min="13" max="13" width="10" customWidth="1"/>
    <col min="14" max="14" width="8" customWidth="1"/>
    <col min="15" max="15" width="3" customWidth="1"/>
    <col min="16" max="17" width="32.26953125" customWidth="1"/>
    <col min="18" max="18" width="8" customWidth="1"/>
  </cols>
  <sheetData>
    <row r="2" spans="1:20" ht="16" x14ac:dyDescent="0.45">
      <c r="A2" s="25"/>
      <c r="B2" s="126"/>
      <c r="C2" s="126"/>
      <c r="D2" s="126"/>
      <c r="E2" s="126"/>
      <c r="F2" s="126"/>
      <c r="G2" s="126"/>
      <c r="H2" s="126"/>
      <c r="I2" s="126"/>
      <c r="J2" s="126"/>
      <c r="K2" s="126"/>
      <c r="L2" s="126"/>
      <c r="M2" s="126"/>
      <c r="N2" s="126"/>
      <c r="O2" s="126"/>
      <c r="P2" s="126"/>
      <c r="Q2" s="126"/>
      <c r="R2" s="126"/>
      <c r="S2" s="126"/>
      <c r="T2" s="126"/>
    </row>
    <row r="3" spans="1:20" ht="16" x14ac:dyDescent="0.45">
      <c r="A3" s="25"/>
      <c r="B3" s="127" t="s">
        <v>326</v>
      </c>
      <c r="C3" s="128"/>
      <c r="D3" s="126"/>
      <c r="E3" s="126"/>
      <c r="F3" s="126"/>
      <c r="G3" s="126"/>
      <c r="H3" s="126"/>
      <c r="I3" s="126"/>
      <c r="J3" s="126"/>
      <c r="K3" s="126"/>
      <c r="L3" s="126"/>
      <c r="M3" s="126"/>
      <c r="N3" s="126"/>
      <c r="O3" s="126"/>
      <c r="P3" s="126"/>
      <c r="Q3" s="126"/>
      <c r="R3" s="126"/>
      <c r="S3" s="126"/>
      <c r="T3" s="126"/>
    </row>
    <row r="4" spans="1:20" ht="16" x14ac:dyDescent="0.45">
      <c r="A4" s="25"/>
      <c r="B4" s="128" t="s">
        <v>364</v>
      </c>
      <c r="C4" s="126"/>
      <c r="D4" s="126"/>
      <c r="E4" s="126"/>
      <c r="F4" s="126"/>
      <c r="G4" s="126"/>
      <c r="H4" s="126"/>
      <c r="I4" s="126"/>
      <c r="J4" s="126"/>
      <c r="K4" s="126"/>
      <c r="L4" s="126"/>
      <c r="M4" s="126"/>
      <c r="N4" s="126"/>
      <c r="O4" s="126"/>
      <c r="P4" s="126"/>
      <c r="Q4" s="126"/>
      <c r="R4" s="126"/>
      <c r="S4" s="126"/>
      <c r="T4" s="126"/>
    </row>
    <row r="5" spans="1:20" ht="16" x14ac:dyDescent="0.45">
      <c r="A5" s="25"/>
      <c r="B5" s="128"/>
      <c r="C5" s="126"/>
      <c r="D5" s="126"/>
      <c r="E5" s="126"/>
      <c r="F5" s="126"/>
      <c r="G5" s="126"/>
      <c r="H5" s="126"/>
      <c r="I5" s="126"/>
      <c r="J5" s="126"/>
      <c r="K5" s="126"/>
      <c r="L5" s="126"/>
      <c r="M5" s="126"/>
      <c r="N5" s="126"/>
      <c r="O5" s="126"/>
      <c r="P5" s="126"/>
      <c r="Q5" s="126"/>
      <c r="R5" s="126"/>
      <c r="S5" s="126"/>
      <c r="T5" s="126"/>
    </row>
    <row r="7" spans="1:20" ht="15" x14ac:dyDescent="0.4">
      <c r="A7" s="268"/>
      <c r="B7" s="268"/>
      <c r="C7" s="268"/>
      <c r="D7" s="268"/>
      <c r="E7" s="268"/>
      <c r="F7" s="268"/>
      <c r="G7" s="268"/>
      <c r="H7" s="268"/>
      <c r="I7" s="268"/>
      <c r="J7" s="268"/>
    </row>
    <row r="8" spans="1:20" ht="16.5" x14ac:dyDescent="0.45">
      <c r="A8" s="268"/>
      <c r="B8" s="272" t="s">
        <v>550</v>
      </c>
      <c r="C8" s="271"/>
      <c r="D8" s="271"/>
      <c r="E8" s="271"/>
      <c r="F8" s="271"/>
      <c r="G8" s="271"/>
      <c r="H8" s="271"/>
      <c r="I8" s="271"/>
      <c r="J8" s="271"/>
      <c r="K8" s="271"/>
      <c r="L8" s="271"/>
      <c r="M8" s="271"/>
      <c r="N8" s="271"/>
      <c r="O8" s="271"/>
      <c r="P8" s="271"/>
    </row>
    <row r="9" spans="1:20" ht="15" x14ac:dyDescent="0.4">
      <c r="A9" s="268"/>
      <c r="B9" s="268"/>
      <c r="C9" s="268"/>
      <c r="D9" s="268"/>
      <c r="E9" s="268"/>
      <c r="F9" s="268"/>
      <c r="G9" s="268"/>
      <c r="H9" s="268"/>
      <c r="I9" s="268"/>
      <c r="J9" s="268"/>
    </row>
    <row r="10" spans="1:20" ht="15" x14ac:dyDescent="0.4">
      <c r="A10" s="268"/>
      <c r="B10" s="268"/>
      <c r="C10" s="268"/>
      <c r="D10" s="268"/>
      <c r="E10" s="268"/>
      <c r="F10" s="268"/>
      <c r="G10" s="268"/>
      <c r="H10" s="268"/>
      <c r="I10" s="268"/>
      <c r="J10" s="268"/>
    </row>
    <row r="11" spans="1:20" ht="15" x14ac:dyDescent="0.4">
      <c r="A11" s="233">
        <v>1</v>
      </c>
      <c r="B11" s="234" t="s">
        <v>551</v>
      </c>
      <c r="C11" s="268"/>
      <c r="D11" s="268"/>
      <c r="E11" s="268"/>
      <c r="F11" s="268"/>
      <c r="G11" s="268"/>
      <c r="H11" s="268"/>
      <c r="I11" s="268"/>
      <c r="J11" s="268"/>
    </row>
    <row r="12" spans="1:20" ht="15" x14ac:dyDescent="0.4">
      <c r="A12" s="268"/>
      <c r="B12" s="268"/>
      <c r="C12" s="268"/>
      <c r="D12" s="268"/>
      <c r="E12" s="268"/>
      <c r="F12" s="268"/>
      <c r="G12" s="268"/>
      <c r="H12" s="268"/>
      <c r="I12" s="268"/>
      <c r="J12" s="268"/>
    </row>
    <row r="13" spans="1:20" ht="15" x14ac:dyDescent="0.4">
      <c r="A13" s="268"/>
      <c r="C13" s="240" t="s">
        <v>552</v>
      </c>
      <c r="D13" s="268"/>
      <c r="E13" s="268"/>
      <c r="F13" s="268"/>
      <c r="G13" s="268"/>
      <c r="H13" s="268"/>
      <c r="I13" s="268"/>
      <c r="J13" s="268"/>
    </row>
    <row r="14" spans="1:20" ht="15" x14ac:dyDescent="0.4">
      <c r="A14" s="268"/>
      <c r="C14" t="s">
        <v>553</v>
      </c>
      <c r="D14" s="268"/>
      <c r="E14" s="268"/>
      <c r="F14" s="268"/>
      <c r="G14" s="268"/>
      <c r="H14" s="268"/>
      <c r="I14" s="268"/>
      <c r="J14" s="268"/>
    </row>
    <row r="15" spans="1:20" ht="15" x14ac:dyDescent="0.4">
      <c r="A15" s="268"/>
      <c r="C15" s="268"/>
      <c r="D15" s="268"/>
      <c r="E15" s="268"/>
      <c r="F15" s="268"/>
      <c r="G15" s="268"/>
      <c r="H15" s="268"/>
      <c r="I15" s="268"/>
      <c r="J15" s="268"/>
    </row>
    <row r="16" spans="1:20" ht="15" x14ac:dyDescent="0.4">
      <c r="A16" s="268"/>
      <c r="C16" s="269" t="s">
        <v>554</v>
      </c>
      <c r="D16" s="268"/>
      <c r="E16" s="268"/>
      <c r="F16" s="268"/>
      <c r="G16" s="268"/>
      <c r="H16" s="268"/>
      <c r="I16" s="268"/>
      <c r="J16" s="268"/>
    </row>
    <row r="17" spans="1:13" ht="15" x14ac:dyDescent="0.4">
      <c r="A17" s="268"/>
      <c r="C17" s="269" t="s">
        <v>555</v>
      </c>
      <c r="D17" s="268"/>
      <c r="E17" s="268"/>
      <c r="F17" s="268"/>
      <c r="G17" s="268"/>
      <c r="H17" s="268"/>
      <c r="I17" s="268"/>
      <c r="J17" s="268"/>
    </row>
    <row r="18" spans="1:13" ht="15" x14ac:dyDescent="0.4">
      <c r="A18" s="268"/>
      <c r="B18" s="268"/>
      <c r="C18" s="269" t="s">
        <v>556</v>
      </c>
      <c r="D18" s="268"/>
      <c r="E18" s="268"/>
      <c r="F18" s="268"/>
      <c r="G18" s="268"/>
      <c r="H18" s="268"/>
      <c r="I18" s="268"/>
      <c r="J18" s="268"/>
    </row>
    <row r="19" spans="1:13" ht="15" x14ac:dyDescent="0.4">
      <c r="A19" s="268"/>
      <c r="B19" s="268"/>
      <c r="C19" s="268"/>
      <c r="D19" s="268"/>
      <c r="E19" s="268"/>
      <c r="F19" s="268"/>
      <c r="G19" s="268"/>
      <c r="H19" s="268"/>
      <c r="I19" s="268"/>
      <c r="J19" s="268"/>
    </row>
    <row r="20" spans="1:13" ht="15" x14ac:dyDescent="0.4">
      <c r="A20" s="268"/>
      <c r="B20" s="268"/>
      <c r="C20" s="269" t="s">
        <v>557</v>
      </c>
      <c r="D20" s="268"/>
      <c r="E20" s="268"/>
      <c r="F20" s="268"/>
      <c r="G20" s="268"/>
      <c r="H20" s="268"/>
      <c r="I20" s="268"/>
      <c r="J20" s="268"/>
    </row>
    <row r="21" spans="1:13" ht="15" x14ac:dyDescent="0.4">
      <c r="A21" s="268"/>
      <c r="B21" s="268"/>
      <c r="C21" s="269" t="s">
        <v>558</v>
      </c>
      <c r="D21" s="268"/>
      <c r="E21" s="268"/>
      <c r="F21" s="268"/>
      <c r="G21" s="268"/>
      <c r="H21" s="268"/>
      <c r="I21" s="268"/>
      <c r="J21" s="268"/>
    </row>
    <row r="22" spans="1:13" ht="15" x14ac:dyDescent="0.4">
      <c r="A22" s="268"/>
      <c r="B22" s="268"/>
      <c r="C22" s="269"/>
      <c r="D22" s="268"/>
      <c r="E22" s="268"/>
      <c r="F22" s="268"/>
      <c r="G22" s="268"/>
      <c r="H22" s="268"/>
      <c r="I22" s="268"/>
      <c r="J22" s="268"/>
    </row>
    <row r="23" spans="1:13" ht="15" x14ac:dyDescent="0.4">
      <c r="A23" s="268"/>
      <c r="B23" s="268"/>
      <c r="C23" s="269"/>
      <c r="D23" s="268"/>
      <c r="E23" s="268"/>
      <c r="F23" s="268"/>
      <c r="G23" s="268"/>
      <c r="H23" s="268"/>
      <c r="I23" s="268"/>
      <c r="J23" s="268"/>
    </row>
    <row r="24" spans="1:13" ht="15" x14ac:dyDescent="0.4">
      <c r="A24" s="233">
        <v>2</v>
      </c>
      <c r="B24" s="234" t="s">
        <v>559</v>
      </c>
      <c r="C24" s="268"/>
      <c r="D24" s="268"/>
      <c r="E24" s="268"/>
      <c r="F24" s="268"/>
      <c r="G24" s="268"/>
      <c r="H24" s="268"/>
      <c r="I24" s="268"/>
      <c r="J24" s="268"/>
    </row>
    <row r="25" spans="1:13" ht="15" x14ac:dyDescent="0.4">
      <c r="A25" s="268"/>
      <c r="B25" s="268"/>
      <c r="C25" s="268"/>
      <c r="D25" s="268"/>
      <c r="E25" s="268"/>
      <c r="F25" s="268"/>
      <c r="G25" s="268"/>
      <c r="H25" s="268"/>
      <c r="I25" s="268"/>
      <c r="J25" s="268"/>
    </row>
    <row r="26" spans="1:13" ht="15" x14ac:dyDescent="0.4">
      <c r="A26" s="268"/>
      <c r="B26" s="268"/>
      <c r="C26" s="268" t="s">
        <v>560</v>
      </c>
      <c r="D26" s="268"/>
      <c r="E26" s="268"/>
      <c r="F26" s="268"/>
      <c r="G26" s="268"/>
      <c r="H26" s="268"/>
      <c r="I26" s="268"/>
      <c r="J26" s="268"/>
    </row>
    <row r="27" spans="1:13" ht="15" x14ac:dyDescent="0.4">
      <c r="A27" s="268"/>
      <c r="B27" s="268"/>
      <c r="C27" s="268"/>
      <c r="D27" s="268"/>
      <c r="E27" s="268"/>
      <c r="F27" s="268"/>
      <c r="G27" s="268"/>
      <c r="H27" s="268"/>
      <c r="I27" s="268"/>
      <c r="J27" s="268"/>
    </row>
    <row r="28" spans="1:13" ht="15" x14ac:dyDescent="0.4">
      <c r="A28" s="268"/>
      <c r="B28" s="269" t="s">
        <v>461</v>
      </c>
      <c r="C28" s="270" t="s">
        <v>561</v>
      </c>
      <c r="D28" s="268"/>
      <c r="E28" s="268"/>
      <c r="F28" s="268"/>
      <c r="G28" s="268"/>
      <c r="H28" s="268"/>
      <c r="I28" s="268"/>
      <c r="J28" s="268"/>
    </row>
    <row r="29" spans="1:13" ht="15" x14ac:dyDescent="0.4">
      <c r="A29" s="268"/>
      <c r="B29" s="269"/>
      <c r="C29" s="269" t="s">
        <v>562</v>
      </c>
      <c r="D29" s="268"/>
      <c r="E29" s="268"/>
      <c r="F29" s="268"/>
      <c r="G29" s="268"/>
      <c r="H29" s="268"/>
      <c r="I29" s="268"/>
      <c r="J29" s="268"/>
    </row>
    <row r="30" spans="1:13" ht="15" x14ac:dyDescent="0.4">
      <c r="A30" s="268"/>
      <c r="B30" s="269"/>
      <c r="C30" s="269" t="s">
        <v>563</v>
      </c>
      <c r="D30" s="268"/>
      <c r="E30" s="268"/>
      <c r="F30" s="268"/>
      <c r="G30" s="268"/>
      <c r="H30" s="268"/>
      <c r="I30" s="268"/>
      <c r="J30" s="268"/>
    </row>
    <row r="31" spans="1:13" ht="15" x14ac:dyDescent="0.4">
      <c r="A31" s="268"/>
      <c r="B31" s="269"/>
      <c r="C31" s="269"/>
      <c r="D31" s="268"/>
      <c r="E31" s="268"/>
      <c r="F31" s="268"/>
      <c r="G31" s="268"/>
      <c r="H31" s="268"/>
      <c r="I31" s="268"/>
      <c r="J31" s="268"/>
    </row>
    <row r="32" spans="1:13" ht="15" x14ac:dyDescent="0.4">
      <c r="A32" s="268"/>
      <c r="B32" s="269" t="s">
        <v>485</v>
      </c>
      <c r="C32" s="270" t="s">
        <v>564</v>
      </c>
      <c r="D32" s="268"/>
      <c r="E32" s="268"/>
      <c r="F32" s="268"/>
      <c r="G32" s="268"/>
      <c r="H32" s="268"/>
      <c r="I32" s="268"/>
      <c r="J32" s="268"/>
      <c r="M32" s="236"/>
    </row>
    <row r="33" spans="1:10" ht="15" x14ac:dyDescent="0.4">
      <c r="A33" s="268"/>
      <c r="B33" s="269"/>
      <c r="C33" s="269" t="s">
        <v>562</v>
      </c>
      <c r="D33" s="268"/>
      <c r="E33" s="268"/>
      <c r="F33" s="268"/>
      <c r="G33" s="268"/>
      <c r="H33" s="268"/>
      <c r="I33" s="268"/>
      <c r="J33" s="268"/>
    </row>
    <row r="34" spans="1:10" ht="15" x14ac:dyDescent="0.4">
      <c r="A34" s="268"/>
      <c r="B34" s="269"/>
      <c r="C34" s="269" t="s">
        <v>565</v>
      </c>
      <c r="D34" s="268"/>
      <c r="E34" s="268"/>
      <c r="F34" s="268"/>
      <c r="G34" s="268"/>
      <c r="H34" s="268"/>
      <c r="I34" s="268"/>
      <c r="J34" s="268"/>
    </row>
    <row r="35" spans="1:10" ht="15" x14ac:dyDescent="0.4">
      <c r="A35" s="268"/>
      <c r="B35" s="269"/>
      <c r="C35" s="269"/>
      <c r="D35" s="268"/>
      <c r="E35" s="268"/>
      <c r="F35" s="268"/>
      <c r="G35" s="268"/>
      <c r="H35" s="268"/>
      <c r="I35" s="268"/>
      <c r="J35" s="268"/>
    </row>
    <row r="36" spans="1:10" ht="15" x14ac:dyDescent="0.4">
      <c r="A36" s="268"/>
      <c r="B36" s="269" t="s">
        <v>491</v>
      </c>
      <c r="C36" s="270" t="s">
        <v>566</v>
      </c>
      <c r="D36" s="268"/>
      <c r="E36" s="268"/>
      <c r="F36" s="268"/>
      <c r="G36" s="268"/>
      <c r="H36" s="268"/>
      <c r="I36" s="268"/>
      <c r="J36" s="268"/>
    </row>
    <row r="37" spans="1:10" ht="15" x14ac:dyDescent="0.4">
      <c r="A37" s="268"/>
      <c r="B37" s="269"/>
      <c r="C37" s="269" t="s">
        <v>567</v>
      </c>
      <c r="D37" s="268"/>
      <c r="E37" s="268"/>
      <c r="F37" s="268"/>
      <c r="G37" s="268"/>
      <c r="H37" s="268"/>
      <c r="I37" s="268"/>
      <c r="J37" s="268"/>
    </row>
    <row r="38" spans="1:10" ht="15" x14ac:dyDescent="0.4">
      <c r="A38" s="268"/>
      <c r="B38" s="268"/>
      <c r="C38" s="268"/>
      <c r="D38" s="268"/>
      <c r="E38" s="268"/>
      <c r="F38" s="268"/>
      <c r="G38" s="268"/>
      <c r="H38" s="268"/>
      <c r="I38" s="268"/>
      <c r="J38" s="268"/>
    </row>
    <row r="39" spans="1:10" ht="15" x14ac:dyDescent="0.4">
      <c r="A39" s="268"/>
      <c r="B39" s="268"/>
      <c r="C39" s="268"/>
      <c r="D39" s="268"/>
      <c r="E39" s="268"/>
      <c r="F39" s="268"/>
      <c r="G39" s="268"/>
      <c r="H39" s="268"/>
      <c r="I39" s="268"/>
      <c r="J39" s="268"/>
    </row>
    <row r="40" spans="1:10" ht="15" x14ac:dyDescent="0.4">
      <c r="A40" s="233">
        <v>3</v>
      </c>
      <c r="B40" s="234" t="s">
        <v>568</v>
      </c>
      <c r="C40" s="268"/>
      <c r="D40" s="268"/>
      <c r="E40" s="268"/>
      <c r="F40" s="268"/>
      <c r="G40" s="268"/>
      <c r="H40" s="268"/>
      <c r="I40" s="268"/>
      <c r="J40" s="268"/>
    </row>
    <row r="41" spans="1:10" ht="15" x14ac:dyDescent="0.4">
      <c r="A41" s="268"/>
      <c r="B41" s="268"/>
      <c r="C41" s="268"/>
      <c r="D41" s="268"/>
      <c r="E41" s="268"/>
      <c r="F41" s="268"/>
      <c r="G41" s="268"/>
      <c r="H41" s="268"/>
      <c r="I41" s="268"/>
      <c r="J41" s="268"/>
    </row>
    <row r="42" spans="1:10" ht="15" x14ac:dyDescent="0.4">
      <c r="A42" s="268"/>
      <c r="B42" s="268"/>
      <c r="C42" s="240" t="s">
        <v>569</v>
      </c>
      <c r="D42" s="268"/>
      <c r="E42" s="268"/>
      <c r="F42" s="268"/>
      <c r="G42" s="268"/>
      <c r="H42" s="268"/>
      <c r="I42" s="268"/>
      <c r="J42" s="268"/>
    </row>
    <row r="43" spans="1:10" ht="15" x14ac:dyDescent="0.4">
      <c r="A43" s="268"/>
      <c r="B43" s="268"/>
      <c r="C43" s="240" t="s">
        <v>570</v>
      </c>
      <c r="D43" s="268"/>
      <c r="E43" s="268"/>
      <c r="F43" s="268"/>
      <c r="G43" s="268"/>
      <c r="H43" s="268"/>
      <c r="I43" s="268"/>
      <c r="J43" s="268"/>
    </row>
    <row r="44" spans="1:10" ht="15" x14ac:dyDescent="0.4">
      <c r="A44" s="268"/>
      <c r="B44" s="268"/>
      <c r="C44" s="268"/>
      <c r="D44" s="268"/>
      <c r="E44" s="268"/>
      <c r="F44" s="268"/>
      <c r="G44" s="268"/>
      <c r="H44" s="268"/>
      <c r="I44" s="268"/>
      <c r="J44" s="268"/>
    </row>
    <row r="45" spans="1:10" ht="15" x14ac:dyDescent="0.4">
      <c r="A45" s="268"/>
      <c r="B45" s="268"/>
      <c r="C45" s="268"/>
      <c r="D45" s="268"/>
      <c r="E45" s="268"/>
      <c r="F45" s="268"/>
      <c r="G45" s="268"/>
      <c r="H45" s="268"/>
      <c r="I45" s="268"/>
      <c r="J45" s="268"/>
    </row>
    <row r="46" spans="1:10" ht="15" x14ac:dyDescent="0.4">
      <c r="A46" s="233">
        <v>4</v>
      </c>
      <c r="B46" s="234" t="s">
        <v>571</v>
      </c>
      <c r="C46" s="268"/>
      <c r="D46" s="268"/>
      <c r="E46" s="268"/>
      <c r="F46" s="268"/>
      <c r="G46" s="268"/>
      <c r="H46" s="268"/>
      <c r="I46" s="268"/>
      <c r="J46" s="268"/>
    </row>
    <row r="47" spans="1:10" ht="15" x14ac:dyDescent="0.4">
      <c r="A47" s="268"/>
      <c r="B47" s="268"/>
      <c r="C47" s="268"/>
      <c r="D47" s="268"/>
      <c r="E47" s="268"/>
      <c r="F47" s="268"/>
      <c r="G47" s="268"/>
      <c r="H47" s="268"/>
      <c r="I47" s="268"/>
      <c r="J47" s="268"/>
    </row>
    <row r="48" spans="1:10" ht="15" x14ac:dyDescent="0.4">
      <c r="A48" s="268"/>
      <c r="B48" s="268"/>
      <c r="C48" s="268" t="s">
        <v>572</v>
      </c>
      <c r="D48" s="268"/>
      <c r="E48" s="268"/>
      <c r="F48" s="268"/>
      <c r="G48" s="268"/>
      <c r="H48" s="268"/>
      <c r="I48" s="268"/>
      <c r="J48" s="268"/>
    </row>
    <row r="49" spans="1:10" ht="15" x14ac:dyDescent="0.4">
      <c r="A49" s="268"/>
      <c r="B49" s="268"/>
      <c r="C49" s="268"/>
      <c r="D49" s="268"/>
      <c r="E49" s="268"/>
      <c r="F49" s="268"/>
      <c r="G49" s="268"/>
      <c r="H49" s="268"/>
      <c r="I49" s="268"/>
      <c r="J49" s="268"/>
    </row>
    <row r="50" spans="1:10" ht="15" x14ac:dyDescent="0.4">
      <c r="A50" s="268"/>
      <c r="B50" s="269" t="s">
        <v>461</v>
      </c>
      <c r="C50" s="269" t="s">
        <v>573</v>
      </c>
      <c r="D50" s="268"/>
      <c r="E50" s="268"/>
      <c r="F50" s="268"/>
      <c r="G50" s="268"/>
      <c r="H50" s="268"/>
      <c r="I50" s="268"/>
      <c r="J50" s="268"/>
    </row>
    <row r="51" spans="1:10" ht="15" x14ac:dyDescent="0.4">
      <c r="A51" s="268"/>
      <c r="B51" s="269" t="s">
        <v>485</v>
      </c>
      <c r="C51" s="269" t="s">
        <v>574</v>
      </c>
      <c r="D51" s="268"/>
      <c r="E51" s="268"/>
      <c r="F51" s="268"/>
      <c r="G51" s="268"/>
      <c r="H51" s="268"/>
      <c r="I51" s="268"/>
      <c r="J51" s="268"/>
    </row>
    <row r="52" spans="1:10" ht="15" x14ac:dyDescent="0.4">
      <c r="A52" s="268"/>
      <c r="B52" s="269" t="s">
        <v>491</v>
      </c>
      <c r="C52" s="269" t="s">
        <v>575</v>
      </c>
      <c r="D52" s="268"/>
      <c r="E52" s="268"/>
      <c r="F52" s="268"/>
      <c r="G52" s="268"/>
      <c r="H52" s="268"/>
      <c r="I52" s="268"/>
      <c r="J52" s="268"/>
    </row>
    <row r="53" spans="1:10" ht="15" x14ac:dyDescent="0.4">
      <c r="A53" s="268"/>
      <c r="B53" s="269" t="s">
        <v>576</v>
      </c>
      <c r="C53" s="269" t="s">
        <v>577</v>
      </c>
      <c r="D53" s="268"/>
      <c r="E53" s="268"/>
      <c r="F53" s="268"/>
      <c r="G53" s="268"/>
      <c r="H53" s="268"/>
      <c r="I53" s="268"/>
      <c r="J53" s="268"/>
    </row>
    <row r="54" spans="1:10" ht="15" x14ac:dyDescent="0.4">
      <c r="A54" s="268"/>
      <c r="B54" s="269" t="s">
        <v>578</v>
      </c>
      <c r="C54" s="269" t="s">
        <v>579</v>
      </c>
      <c r="D54" s="268"/>
      <c r="E54" s="268"/>
      <c r="F54" s="268"/>
      <c r="G54" s="268"/>
      <c r="H54" s="268"/>
      <c r="I54" s="268"/>
      <c r="J54" s="268"/>
    </row>
    <row r="55" spans="1:10" ht="15" x14ac:dyDescent="0.4">
      <c r="A55" s="268"/>
      <c r="B55" s="269" t="s">
        <v>580</v>
      </c>
      <c r="C55" s="269" t="s">
        <v>581</v>
      </c>
      <c r="D55" s="268"/>
      <c r="E55" s="268"/>
      <c r="F55" s="268"/>
      <c r="G55" s="268"/>
      <c r="H55" s="268"/>
      <c r="I55" s="268"/>
      <c r="J55" s="268"/>
    </row>
    <row r="56" spans="1:10" ht="15" x14ac:dyDescent="0.4">
      <c r="A56" s="268"/>
      <c r="B56" s="269" t="s">
        <v>582</v>
      </c>
      <c r="C56" s="269" t="s">
        <v>583</v>
      </c>
      <c r="D56" s="268"/>
      <c r="E56" s="268"/>
      <c r="F56" s="268"/>
      <c r="G56" s="268"/>
      <c r="H56" s="268"/>
      <c r="I56" s="268"/>
      <c r="J56" s="268"/>
    </row>
    <row r="57" spans="1:10" ht="15" x14ac:dyDescent="0.4">
      <c r="A57" s="268"/>
      <c r="B57" s="269" t="s">
        <v>584</v>
      </c>
      <c r="C57" s="269" t="s">
        <v>585</v>
      </c>
      <c r="D57" s="268"/>
      <c r="E57" s="268"/>
      <c r="F57" s="268"/>
      <c r="G57" s="268"/>
      <c r="H57" s="268"/>
      <c r="I57" s="268"/>
      <c r="J57" s="268"/>
    </row>
    <row r="58" spans="1:10" ht="15" x14ac:dyDescent="0.4">
      <c r="A58" s="268"/>
      <c r="B58" s="269" t="s">
        <v>586</v>
      </c>
      <c r="C58" s="269" t="s">
        <v>587</v>
      </c>
      <c r="D58" s="268"/>
      <c r="E58" s="268"/>
      <c r="F58" s="268"/>
      <c r="G58" s="268"/>
      <c r="H58" s="268"/>
      <c r="I58" s="268"/>
      <c r="J58" s="268"/>
    </row>
    <row r="59" spans="1:10" ht="15" x14ac:dyDescent="0.4">
      <c r="A59" s="268"/>
      <c r="B59" s="269" t="s">
        <v>588</v>
      </c>
      <c r="C59" s="269" t="s">
        <v>589</v>
      </c>
      <c r="D59" s="268"/>
      <c r="E59" s="268"/>
      <c r="F59" s="268"/>
      <c r="G59" s="268"/>
      <c r="H59" s="268"/>
      <c r="I59" s="268"/>
      <c r="J59" s="268"/>
    </row>
    <row r="60" spans="1:10" ht="15" x14ac:dyDescent="0.4">
      <c r="A60" s="268"/>
      <c r="B60" s="268"/>
      <c r="C60" s="268"/>
      <c r="D60" s="268"/>
      <c r="E60" s="268"/>
      <c r="F60" s="268"/>
      <c r="G60" s="268"/>
      <c r="H60" s="268"/>
      <c r="I60" s="268"/>
      <c r="J60" s="268"/>
    </row>
    <row r="61" spans="1:10" ht="15" x14ac:dyDescent="0.4">
      <c r="A61" s="268"/>
      <c r="B61" s="268"/>
      <c r="C61" s="268"/>
      <c r="D61" s="268"/>
      <c r="E61" s="268"/>
      <c r="F61" s="268"/>
      <c r="G61" s="268"/>
      <c r="H61" s="268"/>
      <c r="I61" s="268"/>
      <c r="J61" s="268"/>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C6DEE-2089-4D7A-B43A-A3F739A9C667}">
  <sheetPr codeName="Sheet25">
    <tabColor rgb="FF00B050"/>
  </sheetPr>
  <dimension ref="A2:T147"/>
  <sheetViews>
    <sheetView showGridLines="0" workbookViewId="0">
      <selection activeCell="B2" sqref="B2"/>
    </sheetView>
  </sheetViews>
  <sheetFormatPr defaultColWidth="8.54296875" defaultRowHeight="14.5" x14ac:dyDescent="0.35"/>
  <cols>
    <col min="1" max="1" width="3" bestFit="1" customWidth="1"/>
    <col min="2" max="2" width="2.453125" customWidth="1"/>
    <col min="3" max="3" width="26.453125" customWidth="1"/>
    <col min="4" max="6" width="2.453125" customWidth="1"/>
    <col min="7" max="7" width="11" customWidth="1"/>
    <col min="8" max="9" width="8" customWidth="1"/>
    <col min="10" max="10" width="1.453125" customWidth="1"/>
    <col min="11" max="11" width="6.81640625" customWidth="1"/>
    <col min="12" max="12" width="8" customWidth="1"/>
    <col min="13" max="13" width="10" customWidth="1"/>
    <col min="14" max="14" width="8" customWidth="1"/>
    <col min="15" max="15" width="3" customWidth="1"/>
    <col min="16" max="17" width="32.26953125" customWidth="1"/>
    <col min="18" max="18" width="8" customWidth="1"/>
  </cols>
  <sheetData>
    <row r="2" spans="1:20" ht="16" x14ac:dyDescent="0.45">
      <c r="A2" s="25"/>
      <c r="B2" s="126"/>
      <c r="C2" s="126"/>
      <c r="D2" s="126"/>
      <c r="E2" s="126"/>
      <c r="F2" s="126"/>
      <c r="G2" s="126"/>
      <c r="H2" s="126"/>
      <c r="I2" s="126"/>
      <c r="J2" s="126"/>
      <c r="K2" s="126"/>
      <c r="L2" s="126"/>
      <c r="M2" s="126"/>
      <c r="N2" s="126"/>
      <c r="O2" s="126"/>
      <c r="P2" s="126"/>
      <c r="Q2" s="126"/>
      <c r="R2" s="126"/>
      <c r="S2" s="126"/>
      <c r="T2" s="126"/>
    </row>
    <row r="3" spans="1:20" ht="16" x14ac:dyDescent="0.45">
      <c r="A3" s="25"/>
      <c r="B3" s="127" t="s">
        <v>326</v>
      </c>
      <c r="C3" s="128"/>
      <c r="D3" s="126"/>
      <c r="E3" s="126"/>
      <c r="F3" s="126"/>
      <c r="G3" s="126"/>
      <c r="H3" s="126"/>
      <c r="I3" s="126"/>
      <c r="J3" s="126"/>
      <c r="K3" s="126"/>
      <c r="L3" s="126"/>
      <c r="M3" s="126"/>
      <c r="N3" s="126"/>
      <c r="O3" s="126"/>
      <c r="P3" s="126"/>
      <c r="Q3" s="126"/>
      <c r="R3" s="126"/>
      <c r="S3" s="126"/>
      <c r="T3" s="126"/>
    </row>
    <row r="4" spans="1:20" ht="16" x14ac:dyDescent="0.45">
      <c r="A4" s="25"/>
      <c r="B4" s="128" t="s">
        <v>364</v>
      </c>
      <c r="C4" s="126"/>
      <c r="D4" s="126"/>
      <c r="E4" s="126"/>
      <c r="F4" s="126"/>
      <c r="G4" s="126"/>
      <c r="H4" s="126"/>
      <c r="I4" s="126"/>
      <c r="J4" s="126"/>
      <c r="K4" s="126"/>
      <c r="L4" s="126"/>
      <c r="M4" s="126"/>
      <c r="N4" s="126"/>
      <c r="O4" s="126"/>
      <c r="P4" s="126"/>
      <c r="Q4" s="126"/>
      <c r="R4" s="126"/>
      <c r="S4" s="126"/>
      <c r="T4" s="126"/>
    </row>
    <row r="5" spans="1:20" ht="16" x14ac:dyDescent="0.45">
      <c r="A5" s="25"/>
      <c r="B5" s="128"/>
      <c r="C5" s="126"/>
      <c r="D5" s="126"/>
      <c r="E5" s="126"/>
      <c r="F5" s="126"/>
      <c r="G5" s="126"/>
      <c r="H5" s="126"/>
      <c r="I5" s="126"/>
      <c r="J5" s="126"/>
      <c r="K5" s="126"/>
      <c r="L5" s="126"/>
      <c r="M5" s="126"/>
      <c r="N5" s="126"/>
      <c r="O5" s="126"/>
      <c r="P5" s="126"/>
      <c r="Q5" s="126"/>
      <c r="R5" s="126"/>
      <c r="S5" s="126"/>
      <c r="T5" s="126"/>
    </row>
    <row r="8" spans="1:20" ht="16.5" x14ac:dyDescent="0.45">
      <c r="A8" s="337"/>
      <c r="B8" s="337"/>
      <c r="C8" s="272" t="s">
        <v>2136</v>
      </c>
      <c r="D8" s="272"/>
      <c r="E8" s="338" t="s">
        <v>2137</v>
      </c>
      <c r="F8" s="272"/>
      <c r="G8" s="272"/>
      <c r="H8" s="272"/>
      <c r="I8" s="272"/>
      <c r="J8" s="272"/>
      <c r="K8" s="272"/>
      <c r="L8" s="272"/>
      <c r="M8" s="272"/>
      <c r="N8" s="272"/>
      <c r="O8" s="272"/>
      <c r="P8" s="272"/>
      <c r="Q8" s="272"/>
    </row>
    <row r="9" spans="1:20" ht="15" x14ac:dyDescent="0.4">
      <c r="A9" s="268"/>
      <c r="B9" s="268"/>
      <c r="C9" s="268"/>
      <c r="D9" s="268"/>
      <c r="E9" s="268"/>
      <c r="F9" s="268"/>
      <c r="G9" s="268"/>
      <c r="H9" s="268"/>
      <c r="I9" s="268"/>
      <c r="J9" s="268"/>
      <c r="K9" s="268"/>
      <c r="L9" s="268"/>
    </row>
    <row r="10" spans="1:20" ht="15" x14ac:dyDescent="0.4">
      <c r="A10" s="342">
        <v>1</v>
      </c>
      <c r="C10" t="s">
        <v>2138</v>
      </c>
      <c r="E10" t="s">
        <v>2139</v>
      </c>
    </row>
    <row r="12" spans="1:20" x14ac:dyDescent="0.35">
      <c r="E12" t="s">
        <v>2140</v>
      </c>
    </row>
    <row r="14" spans="1:20" ht="15" x14ac:dyDescent="0.4">
      <c r="E14" s="268" t="s">
        <v>2141</v>
      </c>
    </row>
    <row r="15" spans="1:20" ht="15" x14ac:dyDescent="0.4">
      <c r="E15" s="268"/>
    </row>
    <row r="16" spans="1:20" ht="15" x14ac:dyDescent="0.4">
      <c r="E16" s="268" t="s">
        <v>2142</v>
      </c>
    </row>
    <row r="17" spans="2:5" ht="15" x14ac:dyDescent="0.4">
      <c r="C17" s="234"/>
      <c r="E17" s="268"/>
    </row>
    <row r="18" spans="2:5" ht="15" x14ac:dyDescent="0.4">
      <c r="E18" s="268" t="s">
        <v>2143</v>
      </c>
    </row>
    <row r="19" spans="2:5" ht="15" x14ac:dyDescent="0.4">
      <c r="E19" s="268"/>
    </row>
    <row r="20" spans="2:5" ht="15" x14ac:dyDescent="0.4">
      <c r="E20" s="268" t="s">
        <v>2144</v>
      </c>
    </row>
    <row r="21" spans="2:5" ht="15" x14ac:dyDescent="0.4">
      <c r="E21" s="268"/>
    </row>
    <row r="22" spans="2:5" ht="15" x14ac:dyDescent="0.4">
      <c r="E22" s="268" t="s">
        <v>2145</v>
      </c>
    </row>
    <row r="23" spans="2:5" ht="15" x14ac:dyDescent="0.4">
      <c r="E23" s="268"/>
    </row>
    <row r="24" spans="2:5" ht="15" x14ac:dyDescent="0.4">
      <c r="E24" s="268" t="s">
        <v>2146</v>
      </c>
    </row>
    <row r="25" spans="2:5" ht="15" x14ac:dyDescent="0.4">
      <c r="E25" s="268"/>
    </row>
    <row r="26" spans="2:5" ht="15" x14ac:dyDescent="0.4">
      <c r="E26" s="268" t="s">
        <v>2147</v>
      </c>
    </row>
    <row r="27" spans="2:5" ht="15" x14ac:dyDescent="0.4">
      <c r="E27" s="268"/>
    </row>
    <row r="28" spans="2:5" x14ac:dyDescent="0.35">
      <c r="E28" t="s">
        <v>2148</v>
      </c>
    </row>
    <row r="30" spans="2:5" ht="15" x14ac:dyDescent="0.4">
      <c r="B30" s="234"/>
      <c r="C30" s="234"/>
      <c r="E30" t="s">
        <v>2149</v>
      </c>
    </row>
    <row r="32" spans="2:5" x14ac:dyDescent="0.35">
      <c r="E32" t="s">
        <v>2150</v>
      </c>
    </row>
    <row r="34" spans="1:5" x14ac:dyDescent="0.35">
      <c r="E34" t="s">
        <v>2151</v>
      </c>
    </row>
    <row r="36" spans="1:5" x14ac:dyDescent="0.35">
      <c r="E36" t="s">
        <v>2152</v>
      </c>
    </row>
    <row r="38" spans="1:5" x14ac:dyDescent="0.35">
      <c r="E38" t="s">
        <v>2153</v>
      </c>
    </row>
    <row r="40" spans="1:5" x14ac:dyDescent="0.35">
      <c r="E40" t="s">
        <v>2154</v>
      </c>
    </row>
    <row r="42" spans="1:5" x14ac:dyDescent="0.35">
      <c r="E42" t="s">
        <v>2155</v>
      </c>
    </row>
    <row r="44" spans="1:5" x14ac:dyDescent="0.35">
      <c r="E44" t="s">
        <v>2156</v>
      </c>
    </row>
    <row r="46" spans="1:5" ht="15" x14ac:dyDescent="0.4">
      <c r="A46" s="342">
        <v>2</v>
      </c>
      <c r="C46" t="s">
        <v>2157</v>
      </c>
      <c r="E46" t="s">
        <v>2158</v>
      </c>
    </row>
    <row r="48" spans="1:5" ht="15" x14ac:dyDescent="0.4">
      <c r="E48" s="268" t="s">
        <v>2159</v>
      </c>
    </row>
    <row r="49" spans="5:5" ht="15" x14ac:dyDescent="0.4">
      <c r="E49" s="268"/>
    </row>
    <row r="50" spans="5:5" ht="15" x14ac:dyDescent="0.4">
      <c r="E50" s="268" t="s">
        <v>2160</v>
      </c>
    </row>
    <row r="51" spans="5:5" ht="15" x14ac:dyDescent="0.4">
      <c r="E51" s="268"/>
    </row>
    <row r="52" spans="5:5" ht="15" x14ac:dyDescent="0.4">
      <c r="E52" s="268" t="s">
        <v>2161</v>
      </c>
    </row>
    <row r="53" spans="5:5" ht="15" x14ac:dyDescent="0.4">
      <c r="E53" s="268"/>
    </row>
    <row r="54" spans="5:5" ht="15" x14ac:dyDescent="0.4">
      <c r="E54" s="268" t="s">
        <v>2162</v>
      </c>
    </row>
    <row r="55" spans="5:5" ht="15" x14ac:dyDescent="0.4">
      <c r="E55" s="268"/>
    </row>
    <row r="56" spans="5:5" ht="15" x14ac:dyDescent="0.4">
      <c r="E56" s="268" t="s">
        <v>2163</v>
      </c>
    </row>
    <row r="57" spans="5:5" ht="15" x14ac:dyDescent="0.4">
      <c r="E57" s="268"/>
    </row>
    <row r="58" spans="5:5" ht="15" x14ac:dyDescent="0.4">
      <c r="E58" s="268" t="s">
        <v>2164</v>
      </c>
    </row>
    <row r="60" spans="5:5" ht="15" x14ac:dyDescent="0.4">
      <c r="E60" s="268" t="s">
        <v>2165</v>
      </c>
    </row>
    <row r="62" spans="5:5" x14ac:dyDescent="0.35">
      <c r="E62" t="s">
        <v>2166</v>
      </c>
    </row>
    <row r="64" spans="5:5" x14ac:dyDescent="0.35">
      <c r="E64" t="s">
        <v>2167</v>
      </c>
    </row>
    <row r="66" spans="1:5" x14ac:dyDescent="0.35">
      <c r="E66" t="s">
        <v>2168</v>
      </c>
    </row>
    <row r="68" spans="1:5" x14ac:dyDescent="0.35">
      <c r="E68" s="341" t="s">
        <v>2169</v>
      </c>
    </row>
    <row r="70" spans="1:5" x14ac:dyDescent="0.35">
      <c r="E70" s="341" t="s">
        <v>2170</v>
      </c>
    </row>
    <row r="71" spans="1:5" x14ac:dyDescent="0.35">
      <c r="E71" s="341"/>
    </row>
    <row r="72" spans="1:5" x14ac:dyDescent="0.35">
      <c r="E72" s="341" t="s">
        <v>2171</v>
      </c>
    </row>
    <row r="73" spans="1:5" x14ac:dyDescent="0.35">
      <c r="E73" s="341"/>
    </row>
    <row r="74" spans="1:5" x14ac:dyDescent="0.35">
      <c r="E74" s="341" t="s">
        <v>2172</v>
      </c>
    </row>
    <row r="77" spans="1:5" ht="15" x14ac:dyDescent="0.4">
      <c r="A77" s="342">
        <v>3</v>
      </c>
      <c r="C77" t="s">
        <v>2173</v>
      </c>
      <c r="E77" t="s">
        <v>2174</v>
      </c>
    </row>
    <row r="79" spans="1:5" x14ac:dyDescent="0.35">
      <c r="E79" t="s">
        <v>2175</v>
      </c>
    </row>
    <row r="81" spans="5:5" ht="15" x14ac:dyDescent="0.4">
      <c r="E81" t="s">
        <v>2176</v>
      </c>
    </row>
    <row r="83" spans="5:5" x14ac:dyDescent="0.35">
      <c r="E83" t="s">
        <v>2142</v>
      </c>
    </row>
    <row r="85" spans="5:5" ht="15" x14ac:dyDescent="0.4">
      <c r="E85" t="s">
        <v>2177</v>
      </c>
    </row>
    <row r="87" spans="5:5" x14ac:dyDescent="0.35">
      <c r="E87" t="s">
        <v>2144</v>
      </c>
    </row>
    <row r="89" spans="5:5" x14ac:dyDescent="0.35">
      <c r="E89" t="s">
        <v>2145</v>
      </c>
    </row>
    <row r="91" spans="5:5" x14ac:dyDescent="0.35">
      <c r="E91" t="s">
        <v>2146</v>
      </c>
    </row>
    <row r="93" spans="5:5" ht="15" x14ac:dyDescent="0.4">
      <c r="E93" t="s">
        <v>2178</v>
      </c>
    </row>
    <row r="95" spans="5:5" x14ac:dyDescent="0.35">
      <c r="E95" t="s">
        <v>2179</v>
      </c>
    </row>
    <row r="97" spans="1:5" x14ac:dyDescent="0.35">
      <c r="E97" t="s">
        <v>2180</v>
      </c>
    </row>
    <row r="99" spans="1:5" x14ac:dyDescent="0.35">
      <c r="E99" t="s">
        <v>2181</v>
      </c>
    </row>
    <row r="101" spans="1:5" x14ac:dyDescent="0.35">
      <c r="E101" t="s">
        <v>2182</v>
      </c>
    </row>
    <row r="103" spans="1:5" x14ac:dyDescent="0.35">
      <c r="E103" t="s">
        <v>2183</v>
      </c>
    </row>
    <row r="105" spans="1:5" x14ac:dyDescent="0.35">
      <c r="E105" t="s">
        <v>2184</v>
      </c>
    </row>
    <row r="107" spans="1:5" x14ac:dyDescent="0.35">
      <c r="E107" t="s">
        <v>2185</v>
      </c>
    </row>
    <row r="109" spans="1:5" ht="15" x14ac:dyDescent="0.4">
      <c r="A109" s="342">
        <v>4</v>
      </c>
      <c r="C109" t="s">
        <v>2186</v>
      </c>
      <c r="E109" t="s">
        <v>2187</v>
      </c>
    </row>
    <row r="111" spans="1:5" x14ac:dyDescent="0.35">
      <c r="E111" s="346" t="s">
        <v>2188</v>
      </c>
    </row>
    <row r="112" spans="1:5" x14ac:dyDescent="0.35">
      <c r="E112" s="347"/>
    </row>
    <row r="113" spans="1:5" x14ac:dyDescent="0.35">
      <c r="E113" s="348" t="s">
        <v>2189</v>
      </c>
    </row>
    <row r="114" spans="1:5" x14ac:dyDescent="0.35">
      <c r="E114" s="347"/>
    </row>
    <row r="115" spans="1:5" ht="15" x14ac:dyDescent="0.4">
      <c r="E115" s="349" t="s">
        <v>2190</v>
      </c>
    </row>
    <row r="116" spans="1:5" x14ac:dyDescent="0.35">
      <c r="E116" s="347"/>
    </row>
    <row r="117" spans="1:5" ht="15" x14ac:dyDescent="0.4">
      <c r="E117" s="350" t="s">
        <v>2191</v>
      </c>
    </row>
    <row r="119" spans="1:5" ht="15" x14ac:dyDescent="0.4">
      <c r="E119" s="349" t="s">
        <v>2192</v>
      </c>
    </row>
    <row r="120" spans="1:5" x14ac:dyDescent="0.35">
      <c r="E120" s="347"/>
    </row>
    <row r="121" spans="1:5" ht="15" x14ac:dyDescent="0.4">
      <c r="A121" s="342">
        <v>5</v>
      </c>
      <c r="C121" t="s">
        <v>2193</v>
      </c>
      <c r="E121" t="s">
        <v>2194</v>
      </c>
    </row>
    <row r="122" spans="1:5" x14ac:dyDescent="0.35">
      <c r="E122" s="351"/>
    </row>
    <row r="123" spans="1:5" x14ac:dyDescent="0.35">
      <c r="E123" t="s">
        <v>2195</v>
      </c>
    </row>
    <row r="125" spans="1:5" ht="15" x14ac:dyDescent="0.4">
      <c r="E125" s="349" t="s">
        <v>2196</v>
      </c>
    </row>
    <row r="127" spans="1:5" ht="15" x14ac:dyDescent="0.4">
      <c r="E127" s="349" t="s">
        <v>2197</v>
      </c>
    </row>
    <row r="129" spans="1:5" ht="15" x14ac:dyDescent="0.4">
      <c r="E129" s="350" t="s">
        <v>2198</v>
      </c>
    </row>
    <row r="131" spans="1:5" x14ac:dyDescent="0.35">
      <c r="E131" s="348" t="s">
        <v>2199</v>
      </c>
    </row>
    <row r="132" spans="1:5" x14ac:dyDescent="0.35">
      <c r="E132" s="347"/>
    </row>
    <row r="133" spans="1:5" ht="15" x14ac:dyDescent="0.4">
      <c r="A133" s="342">
        <v>6</v>
      </c>
      <c r="C133" t="s">
        <v>2200</v>
      </c>
      <c r="E133" t="s">
        <v>2201</v>
      </c>
    </row>
    <row r="135" spans="1:5" x14ac:dyDescent="0.35">
      <c r="E135" s="346" t="s">
        <v>2202</v>
      </c>
    </row>
    <row r="137" spans="1:5" x14ac:dyDescent="0.35">
      <c r="E137" s="348" t="s">
        <v>2203</v>
      </c>
    </row>
    <row r="139" spans="1:5" ht="15" x14ac:dyDescent="0.4">
      <c r="E139" s="349" t="s">
        <v>2204</v>
      </c>
    </row>
    <row r="141" spans="1:5" ht="15" x14ac:dyDescent="0.4">
      <c r="E141" s="350" t="s">
        <v>2205</v>
      </c>
    </row>
    <row r="143" spans="1:5" ht="15" x14ac:dyDescent="0.4">
      <c r="E143" s="349" t="s">
        <v>2206</v>
      </c>
    </row>
    <row r="145" spans="5:5" ht="15" x14ac:dyDescent="0.4">
      <c r="E145" s="350" t="s">
        <v>2207</v>
      </c>
    </row>
    <row r="147" spans="5:5" x14ac:dyDescent="0.35">
      <c r="E147" s="352" t="s">
        <v>2208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6491A-D692-420E-B1A3-327508B2BD76}">
  <sheetPr codeName="Sheet26">
    <tabColor rgb="FF00B050"/>
  </sheetPr>
  <dimension ref="A2:U102"/>
  <sheetViews>
    <sheetView showGridLines="0" workbookViewId="0">
      <selection activeCell="B2" sqref="B2"/>
    </sheetView>
  </sheetViews>
  <sheetFormatPr defaultColWidth="8.54296875" defaultRowHeight="14.5" x14ac:dyDescent="0.35"/>
  <cols>
    <col min="1" max="1" width="3" bestFit="1" customWidth="1"/>
    <col min="2" max="2" width="2.453125" customWidth="1"/>
    <col min="3" max="3" width="26.453125" customWidth="1"/>
    <col min="4" max="6" width="2.453125" customWidth="1"/>
    <col min="7" max="7" width="11" customWidth="1"/>
    <col min="8" max="9" width="8" customWidth="1"/>
    <col min="10" max="10" width="1.453125" customWidth="1"/>
    <col min="11" max="11" width="6.81640625" customWidth="1"/>
    <col min="12" max="12" width="8" customWidth="1"/>
    <col min="13" max="13" width="10" customWidth="1"/>
    <col min="14" max="14" width="8" customWidth="1"/>
    <col min="15" max="15" width="3" customWidth="1"/>
    <col min="16" max="17" width="32.26953125" customWidth="1"/>
    <col min="18" max="18" width="8" customWidth="1"/>
  </cols>
  <sheetData>
    <row r="2" spans="1:21" ht="16" x14ac:dyDescent="0.45">
      <c r="A2" s="25"/>
      <c r="B2" s="126"/>
      <c r="C2" s="126"/>
      <c r="D2" s="126"/>
      <c r="E2" s="126"/>
      <c r="F2" s="126"/>
      <c r="G2" s="126"/>
      <c r="H2" s="126"/>
      <c r="I2" s="126"/>
      <c r="J2" s="126"/>
      <c r="K2" s="126"/>
      <c r="L2" s="126"/>
      <c r="M2" s="126"/>
      <c r="N2" s="126"/>
      <c r="O2" s="126"/>
      <c r="P2" s="126"/>
      <c r="Q2" s="126"/>
      <c r="R2" s="126"/>
      <c r="S2" s="126"/>
      <c r="T2" s="126"/>
      <c r="U2" s="126"/>
    </row>
    <row r="3" spans="1:21" ht="16" x14ac:dyDescent="0.45">
      <c r="A3" s="25"/>
      <c r="B3" s="127" t="s">
        <v>326</v>
      </c>
      <c r="C3" s="128"/>
      <c r="D3" s="126"/>
      <c r="E3" s="126"/>
      <c r="F3" s="126"/>
      <c r="G3" s="126"/>
      <c r="H3" s="126"/>
      <c r="I3" s="126"/>
      <c r="J3" s="126"/>
      <c r="K3" s="126"/>
      <c r="L3" s="126"/>
      <c r="M3" s="126"/>
      <c r="N3" s="126"/>
      <c r="O3" s="126"/>
      <c r="P3" s="126"/>
      <c r="Q3" s="126"/>
      <c r="R3" s="126"/>
      <c r="S3" s="126"/>
      <c r="T3" s="126"/>
      <c r="U3" s="126"/>
    </row>
    <row r="4" spans="1:21" ht="16" x14ac:dyDescent="0.45">
      <c r="A4" s="25"/>
      <c r="B4" s="128" t="s">
        <v>364</v>
      </c>
      <c r="C4" s="126"/>
      <c r="D4" s="126"/>
      <c r="E4" s="126"/>
      <c r="F4" s="126"/>
      <c r="G4" s="126"/>
      <c r="H4" s="126"/>
      <c r="I4" s="126"/>
      <c r="J4" s="126"/>
      <c r="K4" s="126"/>
      <c r="L4" s="126"/>
      <c r="M4" s="126"/>
      <c r="N4" s="126"/>
      <c r="O4" s="126"/>
      <c r="P4" s="126"/>
      <c r="Q4" s="126"/>
      <c r="R4" s="126"/>
      <c r="S4" s="126"/>
      <c r="T4" s="126"/>
      <c r="U4" s="126"/>
    </row>
    <row r="5" spans="1:21" ht="16" x14ac:dyDescent="0.45">
      <c r="A5" s="25"/>
      <c r="B5" s="128"/>
      <c r="C5" s="126"/>
      <c r="D5" s="126"/>
      <c r="E5" s="126"/>
      <c r="F5" s="126"/>
      <c r="G5" s="126"/>
      <c r="H5" s="126"/>
      <c r="I5" s="126"/>
      <c r="J5" s="126"/>
      <c r="K5" s="126"/>
      <c r="L5" s="126"/>
      <c r="M5" s="126"/>
      <c r="N5" s="126"/>
      <c r="O5" s="126"/>
      <c r="P5" s="126"/>
      <c r="Q5" s="126"/>
      <c r="R5" s="126"/>
      <c r="S5" s="126"/>
      <c r="T5" s="126"/>
      <c r="U5" s="126"/>
    </row>
    <row r="8" spans="1:21" ht="16.5" x14ac:dyDescent="0.45">
      <c r="A8" s="337"/>
      <c r="B8" s="337"/>
      <c r="C8" s="272" t="s">
        <v>2136</v>
      </c>
      <c r="D8" s="272"/>
      <c r="E8" s="338" t="s">
        <v>2137</v>
      </c>
      <c r="F8" s="272"/>
      <c r="G8" s="272"/>
      <c r="H8" s="272"/>
      <c r="I8" s="272"/>
      <c r="J8" s="272"/>
      <c r="K8" s="272"/>
      <c r="L8" s="272"/>
      <c r="M8" s="272"/>
      <c r="N8" s="272"/>
      <c r="O8" s="272"/>
      <c r="P8" s="272"/>
      <c r="Q8" s="272"/>
    </row>
    <row r="10" spans="1:21" ht="15" x14ac:dyDescent="0.4">
      <c r="A10" s="339">
        <v>1</v>
      </c>
      <c r="C10" t="s">
        <v>2209</v>
      </c>
      <c r="E10" t="s">
        <v>2210</v>
      </c>
    </row>
    <row r="12" spans="1:21" x14ac:dyDescent="0.35">
      <c r="E12" t="s">
        <v>2211</v>
      </c>
    </row>
    <row r="14" spans="1:21" x14ac:dyDescent="0.35">
      <c r="E14" t="s">
        <v>2212</v>
      </c>
    </row>
    <row r="16" spans="1:21" x14ac:dyDescent="0.35">
      <c r="E16" t="s">
        <v>2213</v>
      </c>
    </row>
    <row r="18" spans="3:5" ht="15" x14ac:dyDescent="0.4">
      <c r="E18" t="s">
        <v>2214</v>
      </c>
    </row>
    <row r="20" spans="3:5" x14ac:dyDescent="0.35">
      <c r="E20" t="s">
        <v>2215</v>
      </c>
    </row>
    <row r="21" spans="3:5" ht="15" x14ac:dyDescent="0.4">
      <c r="C21" s="234"/>
    </row>
    <row r="22" spans="3:5" x14ac:dyDescent="0.35">
      <c r="E22" t="s">
        <v>2216</v>
      </c>
    </row>
    <row r="24" spans="3:5" ht="15" x14ac:dyDescent="0.4">
      <c r="E24" t="s">
        <v>2217</v>
      </c>
    </row>
    <row r="26" spans="3:5" x14ac:dyDescent="0.35">
      <c r="E26" t="s">
        <v>2218</v>
      </c>
    </row>
    <row r="28" spans="3:5" x14ac:dyDescent="0.35">
      <c r="E28" t="s">
        <v>2219</v>
      </c>
    </row>
    <row r="31" spans="3:5" ht="15" x14ac:dyDescent="0.4">
      <c r="E31" s="268" t="s">
        <v>2220</v>
      </c>
    </row>
    <row r="32" spans="3:5" ht="15" x14ac:dyDescent="0.4">
      <c r="E32" s="268"/>
    </row>
    <row r="33" spans="1:5" x14ac:dyDescent="0.35">
      <c r="E33" t="s">
        <v>2221</v>
      </c>
    </row>
    <row r="35" spans="1:5" x14ac:dyDescent="0.35">
      <c r="E35" t="s">
        <v>2222</v>
      </c>
    </row>
    <row r="37" spans="1:5" ht="15" x14ac:dyDescent="0.4">
      <c r="B37" s="234"/>
      <c r="C37" s="234"/>
      <c r="E37" t="s">
        <v>2223</v>
      </c>
    </row>
    <row r="40" spans="1:5" ht="15" x14ac:dyDescent="0.4">
      <c r="A40" s="339">
        <v>2</v>
      </c>
      <c r="C40" t="s">
        <v>2224</v>
      </c>
      <c r="E40" t="s">
        <v>2225</v>
      </c>
    </row>
    <row r="42" spans="1:5" x14ac:dyDescent="0.35">
      <c r="E42" t="s">
        <v>2226</v>
      </c>
    </row>
    <row r="44" spans="1:5" x14ac:dyDescent="0.35">
      <c r="E44" t="s">
        <v>2227</v>
      </c>
    </row>
    <row r="46" spans="1:5" x14ac:dyDescent="0.35">
      <c r="E46" t="s">
        <v>2228</v>
      </c>
    </row>
    <row r="48" spans="1:5" x14ac:dyDescent="0.35">
      <c r="E48" t="s">
        <v>2229</v>
      </c>
    </row>
    <row r="50" spans="5:5" ht="15" x14ac:dyDescent="0.4">
      <c r="E50" t="s">
        <v>2230</v>
      </c>
    </row>
    <row r="52" spans="5:5" ht="15" x14ac:dyDescent="0.4">
      <c r="E52" t="s">
        <v>2231</v>
      </c>
    </row>
    <row r="54" spans="5:5" x14ac:dyDescent="0.35">
      <c r="E54" t="s">
        <v>2232</v>
      </c>
    </row>
    <row r="56" spans="5:5" x14ac:dyDescent="0.35">
      <c r="E56" t="s">
        <v>2233</v>
      </c>
    </row>
    <row r="58" spans="5:5" x14ac:dyDescent="0.35">
      <c r="E58" t="s">
        <v>2234</v>
      </c>
    </row>
    <row r="60" spans="5:5" x14ac:dyDescent="0.35">
      <c r="E60" t="s">
        <v>2235</v>
      </c>
    </row>
    <row r="62" spans="5:5" x14ac:dyDescent="0.35">
      <c r="E62" s="341" t="s">
        <v>2236</v>
      </c>
    </row>
    <row r="64" spans="5:5" x14ac:dyDescent="0.35">
      <c r="E64" s="341" t="s">
        <v>2237</v>
      </c>
    </row>
    <row r="67" spans="1:5" ht="15" x14ac:dyDescent="0.4">
      <c r="A67" s="339">
        <v>3</v>
      </c>
      <c r="C67" t="s">
        <v>2238</v>
      </c>
      <c r="E67" t="s">
        <v>2239</v>
      </c>
    </row>
    <row r="69" spans="1:5" x14ac:dyDescent="0.35">
      <c r="E69" t="s">
        <v>2240</v>
      </c>
    </row>
    <row r="71" spans="1:5" x14ac:dyDescent="0.35">
      <c r="E71" t="s">
        <v>2241</v>
      </c>
    </row>
    <row r="73" spans="1:5" x14ac:dyDescent="0.35">
      <c r="E73" t="s">
        <v>2242</v>
      </c>
    </row>
    <row r="75" spans="1:5" x14ac:dyDescent="0.35">
      <c r="E75" t="s">
        <v>2243</v>
      </c>
    </row>
    <row r="77" spans="1:5" x14ac:dyDescent="0.35">
      <c r="E77" t="s">
        <v>2244</v>
      </c>
    </row>
    <row r="79" spans="1:5" ht="15" x14ac:dyDescent="0.4">
      <c r="E79" t="s">
        <v>2230</v>
      </c>
    </row>
    <row r="81" spans="1:5" ht="15" x14ac:dyDescent="0.4">
      <c r="E81" t="s">
        <v>2231</v>
      </c>
    </row>
    <row r="83" spans="1:5" x14ac:dyDescent="0.35">
      <c r="E83" t="s">
        <v>2245</v>
      </c>
    </row>
    <row r="85" spans="1:5" x14ac:dyDescent="0.35">
      <c r="E85" t="s">
        <v>2232</v>
      </c>
    </row>
    <row r="87" spans="1:5" x14ac:dyDescent="0.35">
      <c r="E87" t="s">
        <v>2233</v>
      </c>
    </row>
    <row r="90" spans="1:5" ht="15" x14ac:dyDescent="0.4">
      <c r="A90" s="339">
        <v>4</v>
      </c>
      <c r="C90" t="s">
        <v>2246</v>
      </c>
      <c r="E90" t="s">
        <v>2247</v>
      </c>
    </row>
    <row r="92" spans="1:5" ht="15" x14ac:dyDescent="0.4">
      <c r="E92" t="s">
        <v>2248</v>
      </c>
    </row>
    <row r="94" spans="1:5" x14ac:dyDescent="0.35">
      <c r="E94" t="s">
        <v>2249</v>
      </c>
    </row>
    <row r="96" spans="1:5" x14ac:dyDescent="0.35">
      <c r="E96" t="s">
        <v>2250</v>
      </c>
    </row>
    <row r="98" spans="5:5" x14ac:dyDescent="0.35">
      <c r="E98" t="s">
        <v>2242</v>
      </c>
    </row>
    <row r="100" spans="5:5" x14ac:dyDescent="0.35">
      <c r="E100" t="s">
        <v>2251</v>
      </c>
    </row>
    <row r="102" spans="5:5" x14ac:dyDescent="0.35">
      <c r="E102" t="s">
        <v>2252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09EB-63AD-4469-920F-16D0DF869599}">
  <sheetPr codeName="Sheet27">
    <tabColor rgb="FF00B050"/>
  </sheetPr>
  <dimension ref="A2:U104"/>
  <sheetViews>
    <sheetView showGridLines="0" workbookViewId="0"/>
  </sheetViews>
  <sheetFormatPr defaultColWidth="8.54296875" defaultRowHeight="14.5" x14ac:dyDescent="0.35"/>
  <cols>
    <col min="1" max="1" width="3" bestFit="1" customWidth="1"/>
    <col min="2" max="2" width="2.453125" customWidth="1"/>
    <col min="3" max="3" width="26.453125" customWidth="1"/>
    <col min="4" max="6" width="2.453125" customWidth="1"/>
    <col min="7" max="7" width="11" customWidth="1"/>
    <col min="8" max="9" width="8" customWidth="1"/>
    <col min="10" max="10" width="1.453125" customWidth="1"/>
    <col min="11" max="11" width="6.81640625" customWidth="1"/>
    <col min="12" max="12" width="8" customWidth="1"/>
    <col min="13" max="13" width="10" customWidth="1"/>
    <col min="14" max="14" width="8" customWidth="1"/>
    <col min="15" max="15" width="3" customWidth="1"/>
    <col min="16" max="17" width="32.26953125" customWidth="1"/>
    <col min="18" max="18" width="8" customWidth="1"/>
  </cols>
  <sheetData>
    <row r="2" spans="1:21" ht="16" x14ac:dyDescent="0.45">
      <c r="A2" s="25"/>
      <c r="B2" s="126"/>
      <c r="C2" s="126"/>
      <c r="D2" s="126"/>
      <c r="E2" s="126"/>
      <c r="F2" s="126"/>
      <c r="G2" s="126"/>
      <c r="H2" s="126"/>
      <c r="I2" s="126"/>
      <c r="J2" s="126"/>
      <c r="K2" s="126"/>
      <c r="L2" s="126"/>
      <c r="M2" s="126"/>
      <c r="N2" s="126"/>
      <c r="O2" s="126"/>
      <c r="P2" s="126"/>
      <c r="Q2" s="126"/>
      <c r="R2" s="126"/>
      <c r="S2" s="126"/>
      <c r="T2" s="126"/>
      <c r="U2" s="126"/>
    </row>
    <row r="3" spans="1:21" ht="16" x14ac:dyDescent="0.45">
      <c r="A3" s="25"/>
      <c r="B3" s="127" t="s">
        <v>326</v>
      </c>
      <c r="C3" s="128"/>
      <c r="D3" s="126"/>
      <c r="E3" s="126"/>
      <c r="F3" s="126"/>
      <c r="G3" s="126"/>
      <c r="H3" s="126"/>
      <c r="I3" s="126"/>
      <c r="J3" s="126"/>
      <c r="K3" s="126"/>
      <c r="L3" s="126"/>
      <c r="M3" s="126"/>
      <c r="N3" s="126"/>
      <c r="O3" s="126"/>
      <c r="P3" s="126"/>
      <c r="Q3" s="126"/>
      <c r="R3" s="126"/>
      <c r="S3" s="126"/>
      <c r="T3" s="126"/>
      <c r="U3" s="126"/>
    </row>
    <row r="4" spans="1:21" ht="16" x14ac:dyDescent="0.45">
      <c r="A4" s="25"/>
      <c r="B4" s="128" t="s">
        <v>364</v>
      </c>
      <c r="C4" s="126"/>
      <c r="D4" s="126"/>
      <c r="E4" s="126"/>
      <c r="F4" s="126"/>
      <c r="G4" s="126"/>
      <c r="H4" s="126"/>
      <c r="I4" s="126"/>
      <c r="J4" s="126"/>
      <c r="K4" s="126"/>
      <c r="L4" s="126"/>
      <c r="M4" s="126"/>
      <c r="N4" s="126"/>
      <c r="O4" s="126"/>
      <c r="P4" s="126"/>
      <c r="Q4" s="126"/>
      <c r="R4" s="126"/>
      <c r="S4" s="126"/>
      <c r="T4" s="126"/>
      <c r="U4" s="126"/>
    </row>
    <row r="5" spans="1:21" ht="16" x14ac:dyDescent="0.45">
      <c r="A5" s="25"/>
      <c r="B5" s="128"/>
      <c r="C5" s="126"/>
      <c r="D5" s="126"/>
      <c r="E5" s="126"/>
      <c r="F5" s="126"/>
      <c r="G5" s="126"/>
      <c r="H5" s="126"/>
      <c r="I5" s="126"/>
      <c r="J5" s="126"/>
      <c r="K5" s="126"/>
      <c r="L5" s="126"/>
      <c r="M5" s="126"/>
      <c r="N5" s="126"/>
      <c r="O5" s="126"/>
      <c r="P5" s="126"/>
      <c r="Q5" s="126"/>
      <c r="R5" s="126"/>
      <c r="S5" s="126"/>
      <c r="T5" s="126"/>
      <c r="U5" s="126"/>
    </row>
    <row r="8" spans="1:21" ht="16.5" x14ac:dyDescent="0.45">
      <c r="A8" s="337"/>
      <c r="B8" s="337"/>
      <c r="C8" s="272" t="s">
        <v>2136</v>
      </c>
      <c r="D8" s="272"/>
      <c r="E8" s="338" t="s">
        <v>2137</v>
      </c>
      <c r="F8" s="272"/>
      <c r="G8" s="272"/>
      <c r="H8" s="272"/>
      <c r="I8" s="272"/>
      <c r="J8" s="272"/>
      <c r="K8" s="272"/>
      <c r="L8" s="272"/>
      <c r="M8" s="272"/>
      <c r="N8" s="272"/>
      <c r="O8" s="272"/>
      <c r="P8" s="272"/>
      <c r="Q8" s="272"/>
    </row>
    <row r="10" spans="1:21" ht="15" x14ac:dyDescent="0.4">
      <c r="A10" s="339">
        <v>1</v>
      </c>
      <c r="B10" s="234"/>
      <c r="C10" t="s">
        <v>2253</v>
      </c>
      <c r="E10" t="s">
        <v>2254</v>
      </c>
    </row>
    <row r="12" spans="1:21" ht="15" x14ac:dyDescent="0.4">
      <c r="B12" s="234"/>
      <c r="E12" s="240" t="s">
        <v>2255</v>
      </c>
    </row>
    <row r="14" spans="1:21" ht="15" x14ac:dyDescent="0.4">
      <c r="B14" s="234"/>
      <c r="E14" s="240" t="s">
        <v>2256</v>
      </c>
    </row>
    <row r="16" spans="1:21" x14ac:dyDescent="0.35">
      <c r="E16" t="s">
        <v>2257</v>
      </c>
    </row>
    <row r="18" spans="2:5" ht="15" x14ac:dyDescent="0.4">
      <c r="E18" t="s">
        <v>2258</v>
      </c>
    </row>
    <row r="20" spans="2:5" ht="15" x14ac:dyDescent="0.4">
      <c r="E20" s="240" t="s">
        <v>2259</v>
      </c>
    </row>
    <row r="22" spans="2:5" x14ac:dyDescent="0.35">
      <c r="E22" t="s">
        <v>2260</v>
      </c>
    </row>
    <row r="24" spans="2:5" x14ac:dyDescent="0.35">
      <c r="E24" t="s">
        <v>2261</v>
      </c>
    </row>
    <row r="26" spans="2:5" ht="15" x14ac:dyDescent="0.4">
      <c r="B26" s="234"/>
      <c r="E26" t="s">
        <v>2262</v>
      </c>
    </row>
    <row r="27" spans="2:5" ht="15" x14ac:dyDescent="0.4">
      <c r="B27" s="234"/>
    </row>
    <row r="28" spans="2:5" ht="15" x14ac:dyDescent="0.4">
      <c r="B28" s="234"/>
      <c r="E28" t="s">
        <v>2263</v>
      </c>
    </row>
    <row r="29" spans="2:5" ht="15" x14ac:dyDescent="0.4">
      <c r="B29" s="234"/>
    </row>
    <row r="30" spans="2:5" ht="15" x14ac:dyDescent="0.4">
      <c r="B30" s="234"/>
      <c r="E30" t="s">
        <v>2264</v>
      </c>
    </row>
    <row r="31" spans="2:5" ht="15" x14ac:dyDescent="0.4">
      <c r="B31" s="234"/>
    </row>
    <row r="32" spans="2:5" ht="15" x14ac:dyDescent="0.4">
      <c r="C32" s="234"/>
      <c r="E32" t="s">
        <v>2265</v>
      </c>
    </row>
    <row r="33" spans="1:5" ht="15" x14ac:dyDescent="0.4">
      <c r="C33" s="234"/>
    </row>
    <row r="34" spans="1:5" ht="15" x14ac:dyDescent="0.4">
      <c r="C34" s="234"/>
      <c r="E34" t="s">
        <v>2266</v>
      </c>
    </row>
    <row r="35" spans="1:5" ht="15" x14ac:dyDescent="0.4">
      <c r="C35" s="234"/>
    </row>
    <row r="36" spans="1:5" ht="15" x14ac:dyDescent="0.4">
      <c r="C36" s="234"/>
      <c r="E36" t="s">
        <v>2267</v>
      </c>
    </row>
    <row r="37" spans="1:5" ht="15" x14ac:dyDescent="0.4">
      <c r="C37" s="234"/>
    </row>
    <row r="38" spans="1:5" ht="15" x14ac:dyDescent="0.4">
      <c r="C38" s="234"/>
    </row>
    <row r="39" spans="1:5" ht="15" x14ac:dyDescent="0.4">
      <c r="C39" s="234"/>
    </row>
    <row r="40" spans="1:5" x14ac:dyDescent="0.35">
      <c r="A40" s="339">
        <v>2</v>
      </c>
      <c r="C40" t="s">
        <v>2268</v>
      </c>
      <c r="E40" t="s">
        <v>2269</v>
      </c>
    </row>
    <row r="42" spans="1:5" x14ac:dyDescent="0.35">
      <c r="E42" t="s">
        <v>2270</v>
      </c>
    </row>
    <row r="44" spans="1:5" ht="15" x14ac:dyDescent="0.4">
      <c r="E44" t="s">
        <v>2271</v>
      </c>
    </row>
    <row r="46" spans="1:5" ht="15" x14ac:dyDescent="0.4">
      <c r="E46" s="340" t="s">
        <v>2272</v>
      </c>
    </row>
    <row r="48" spans="1:5" ht="15" x14ac:dyDescent="0.4">
      <c r="E48" t="s">
        <v>2273</v>
      </c>
    </row>
    <row r="50" spans="1:5" ht="15" x14ac:dyDescent="0.4">
      <c r="C50" s="234"/>
      <c r="E50" t="s">
        <v>2274</v>
      </c>
    </row>
    <row r="53" spans="1:5" ht="15" x14ac:dyDescent="0.4">
      <c r="C53" s="234"/>
      <c r="E53" s="234"/>
    </row>
    <row r="54" spans="1:5" x14ac:dyDescent="0.35">
      <c r="A54" s="339">
        <v>3</v>
      </c>
      <c r="C54" t="s">
        <v>2275</v>
      </c>
      <c r="E54" t="s">
        <v>2276</v>
      </c>
    </row>
    <row r="56" spans="1:5" ht="15" x14ac:dyDescent="0.4">
      <c r="E56" t="s">
        <v>2277</v>
      </c>
    </row>
    <row r="58" spans="1:5" ht="15" x14ac:dyDescent="0.4">
      <c r="E58" t="s">
        <v>2278</v>
      </c>
    </row>
    <row r="60" spans="1:5" ht="15" x14ac:dyDescent="0.4">
      <c r="E60" s="268" t="s">
        <v>2279</v>
      </c>
    </row>
    <row r="61" spans="1:5" ht="15" x14ac:dyDescent="0.4">
      <c r="E61" s="268"/>
    </row>
    <row r="62" spans="1:5" ht="15" x14ac:dyDescent="0.4">
      <c r="E62" t="s">
        <v>2280</v>
      </c>
    </row>
    <row r="64" spans="1:5" ht="15" x14ac:dyDescent="0.4">
      <c r="C64" s="234"/>
      <c r="E64" t="s">
        <v>2281</v>
      </c>
    </row>
    <row r="66" spans="1:5" x14ac:dyDescent="0.35">
      <c r="E66" t="s">
        <v>2282</v>
      </c>
    </row>
    <row r="68" spans="1:5" ht="15" x14ac:dyDescent="0.4">
      <c r="C68" s="234"/>
      <c r="E68" t="s">
        <v>2283</v>
      </c>
    </row>
    <row r="70" spans="1:5" ht="15" x14ac:dyDescent="0.4">
      <c r="C70" s="234"/>
      <c r="E70" t="s">
        <v>2284</v>
      </c>
    </row>
    <row r="72" spans="1:5" x14ac:dyDescent="0.35">
      <c r="E72" t="s">
        <v>2285</v>
      </c>
    </row>
    <row r="74" spans="1:5" x14ac:dyDescent="0.35">
      <c r="E74" t="s">
        <v>2286</v>
      </c>
    </row>
    <row r="78" spans="1:5" ht="15" x14ac:dyDescent="0.4">
      <c r="A78" s="339">
        <v>4</v>
      </c>
      <c r="C78" t="s">
        <v>2287</v>
      </c>
      <c r="E78" t="s">
        <v>2288</v>
      </c>
    </row>
    <row r="80" spans="1:5" ht="15" x14ac:dyDescent="0.4">
      <c r="E80" s="240" t="s">
        <v>2255</v>
      </c>
    </row>
    <row r="82" spans="3:5" ht="15" x14ac:dyDescent="0.4">
      <c r="E82" s="240" t="s">
        <v>2256</v>
      </c>
    </row>
    <row r="84" spans="3:5" x14ac:dyDescent="0.35">
      <c r="E84" t="s">
        <v>2257</v>
      </c>
    </row>
    <row r="86" spans="3:5" ht="15" x14ac:dyDescent="0.4">
      <c r="E86" t="s">
        <v>2289</v>
      </c>
    </row>
    <row r="88" spans="3:5" ht="15" x14ac:dyDescent="0.4">
      <c r="C88" s="234"/>
      <c r="E88" s="240" t="s">
        <v>2259</v>
      </c>
    </row>
    <row r="90" spans="3:5" x14ac:dyDescent="0.35">
      <c r="E90" t="s">
        <v>2260</v>
      </c>
    </row>
    <row r="92" spans="3:5" x14ac:dyDescent="0.35">
      <c r="E92" t="s">
        <v>2261</v>
      </c>
    </row>
    <row r="94" spans="3:5" x14ac:dyDescent="0.35">
      <c r="E94" t="s">
        <v>2290</v>
      </c>
    </row>
    <row r="96" spans="3:5" x14ac:dyDescent="0.35">
      <c r="E96" t="s">
        <v>2263</v>
      </c>
    </row>
    <row r="98" spans="5:5" x14ac:dyDescent="0.35">
      <c r="E98" t="s">
        <v>2291</v>
      </c>
    </row>
    <row r="100" spans="5:5" x14ac:dyDescent="0.35">
      <c r="E100" t="s">
        <v>2265</v>
      </c>
    </row>
    <row r="102" spans="5:5" x14ac:dyDescent="0.35">
      <c r="E102" t="s">
        <v>2292</v>
      </c>
    </row>
    <row r="104" spans="5:5" x14ac:dyDescent="0.35">
      <c r="E104" t="s">
        <v>2267</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EAB61-6E2A-4DCF-A8E5-75716395C62D}">
  <sheetPr codeName="Sheet28">
    <tabColor rgb="FF00B050"/>
  </sheetPr>
  <dimension ref="A2:U82"/>
  <sheetViews>
    <sheetView showGridLines="0" workbookViewId="0"/>
  </sheetViews>
  <sheetFormatPr defaultColWidth="8.54296875" defaultRowHeight="14.5" x14ac:dyDescent="0.35"/>
  <cols>
    <col min="1" max="1" width="3" bestFit="1" customWidth="1"/>
    <col min="2" max="2" width="2.453125" customWidth="1"/>
    <col min="3" max="3" width="26.453125" customWidth="1"/>
    <col min="4" max="6" width="2.453125" customWidth="1"/>
    <col min="7" max="7" width="11" customWidth="1"/>
    <col min="8" max="9" width="8" customWidth="1"/>
    <col min="10" max="10" width="1.453125" customWidth="1"/>
    <col min="11" max="11" width="6.81640625" customWidth="1"/>
    <col min="12" max="12" width="8" customWidth="1"/>
    <col min="13" max="13" width="10" customWidth="1"/>
    <col min="14" max="14" width="8" customWidth="1"/>
    <col min="15" max="15" width="3" customWidth="1"/>
    <col min="16" max="17" width="32.26953125" customWidth="1"/>
    <col min="18" max="18" width="8" customWidth="1"/>
  </cols>
  <sheetData>
    <row r="2" spans="1:21" ht="16" x14ac:dyDescent="0.45">
      <c r="A2" s="25"/>
      <c r="B2" s="126"/>
      <c r="C2" s="126"/>
      <c r="D2" s="126"/>
      <c r="E2" s="126"/>
      <c r="F2" s="126"/>
      <c r="G2" s="126"/>
      <c r="H2" s="126"/>
      <c r="I2" s="126"/>
      <c r="J2" s="126"/>
      <c r="K2" s="126"/>
      <c r="L2" s="126"/>
      <c r="M2" s="126"/>
      <c r="N2" s="126"/>
      <c r="O2" s="126"/>
      <c r="P2" s="126"/>
      <c r="Q2" s="126"/>
      <c r="R2" s="126"/>
      <c r="S2" s="126"/>
      <c r="T2" s="126"/>
      <c r="U2" s="126"/>
    </row>
    <row r="3" spans="1:21" ht="16" x14ac:dyDescent="0.45">
      <c r="A3" s="25"/>
      <c r="B3" s="127" t="s">
        <v>326</v>
      </c>
      <c r="C3" s="128"/>
      <c r="D3" s="126"/>
      <c r="E3" s="126"/>
      <c r="F3" s="126"/>
      <c r="G3" s="126"/>
      <c r="H3" s="126"/>
      <c r="I3" s="126"/>
      <c r="J3" s="126"/>
      <c r="K3" s="126"/>
      <c r="L3" s="126"/>
      <c r="M3" s="126"/>
      <c r="N3" s="126"/>
      <c r="O3" s="126"/>
      <c r="P3" s="126"/>
      <c r="Q3" s="126"/>
      <c r="R3" s="126"/>
      <c r="S3" s="126"/>
      <c r="T3" s="126"/>
      <c r="U3" s="126"/>
    </row>
    <row r="4" spans="1:21" ht="16" x14ac:dyDescent="0.45">
      <c r="A4" s="25"/>
      <c r="B4" s="128" t="s">
        <v>364</v>
      </c>
      <c r="C4" s="126"/>
      <c r="D4" s="126"/>
      <c r="E4" s="126"/>
      <c r="F4" s="126"/>
      <c r="G4" s="126"/>
      <c r="H4" s="126"/>
      <c r="I4" s="126"/>
      <c r="J4" s="126"/>
      <c r="K4" s="126"/>
      <c r="L4" s="126"/>
      <c r="M4" s="126"/>
      <c r="N4" s="126"/>
      <c r="O4" s="126"/>
      <c r="P4" s="126"/>
      <c r="Q4" s="126"/>
      <c r="R4" s="126"/>
      <c r="S4" s="126"/>
      <c r="T4" s="126"/>
      <c r="U4" s="126"/>
    </row>
    <row r="5" spans="1:21" ht="16" x14ac:dyDescent="0.45">
      <c r="A5" s="25"/>
      <c r="B5" s="128"/>
      <c r="C5" s="126"/>
      <c r="D5" s="126"/>
      <c r="E5" s="126"/>
      <c r="F5" s="126"/>
      <c r="G5" s="126"/>
      <c r="H5" s="126"/>
      <c r="I5" s="126"/>
      <c r="J5" s="126"/>
      <c r="K5" s="126"/>
      <c r="L5" s="126"/>
      <c r="M5" s="126"/>
      <c r="N5" s="126"/>
      <c r="O5" s="126"/>
      <c r="P5" s="126"/>
      <c r="Q5" s="126"/>
      <c r="R5" s="126"/>
      <c r="S5" s="126"/>
      <c r="T5" s="126"/>
      <c r="U5" s="126"/>
    </row>
    <row r="8" spans="1:21" ht="16.5" x14ac:dyDescent="0.45">
      <c r="A8" s="337"/>
      <c r="B8" s="337"/>
      <c r="C8" s="272" t="s">
        <v>2136</v>
      </c>
      <c r="D8" s="272"/>
      <c r="E8" s="338" t="s">
        <v>2137</v>
      </c>
      <c r="F8" s="272"/>
      <c r="G8" s="272"/>
      <c r="H8" s="272"/>
      <c r="I8" s="272"/>
      <c r="J8" s="272"/>
      <c r="K8" s="272"/>
      <c r="L8" s="272"/>
      <c r="M8" s="272"/>
      <c r="N8" s="272"/>
      <c r="O8" s="272"/>
      <c r="P8" s="272"/>
      <c r="Q8" s="272"/>
    </row>
    <row r="10" spans="1:21" ht="15" x14ac:dyDescent="0.4">
      <c r="A10" s="339">
        <v>1</v>
      </c>
      <c r="C10" t="s">
        <v>2293</v>
      </c>
      <c r="E10" t="s">
        <v>2294</v>
      </c>
    </row>
    <row r="12" spans="1:21" x14ac:dyDescent="0.35">
      <c r="E12" t="s">
        <v>2295</v>
      </c>
    </row>
    <row r="14" spans="1:21" ht="15" x14ac:dyDescent="0.4">
      <c r="A14" s="339">
        <v>2</v>
      </c>
      <c r="C14" t="s">
        <v>2296</v>
      </c>
      <c r="E14" t="s">
        <v>2297</v>
      </c>
    </row>
    <row r="16" spans="1:21" x14ac:dyDescent="0.35">
      <c r="E16" t="s">
        <v>2298</v>
      </c>
    </row>
    <row r="17" spans="1:5" x14ac:dyDescent="0.35">
      <c r="E17" s="341"/>
    </row>
    <row r="18" spans="1:5" ht="15" x14ac:dyDescent="0.4">
      <c r="A18" s="339">
        <v>3</v>
      </c>
      <c r="C18" t="s">
        <v>2299</v>
      </c>
      <c r="E18" t="s">
        <v>2300</v>
      </c>
    </row>
    <row r="20" spans="1:5" x14ac:dyDescent="0.35">
      <c r="E20" t="s">
        <v>2301</v>
      </c>
    </row>
    <row r="21" spans="1:5" ht="15" x14ac:dyDescent="0.4">
      <c r="C21" s="234"/>
    </row>
    <row r="22" spans="1:5" ht="15" x14ac:dyDescent="0.4">
      <c r="A22" s="339">
        <v>4</v>
      </c>
      <c r="C22" t="s">
        <v>2302</v>
      </c>
      <c r="E22" t="s">
        <v>2303</v>
      </c>
    </row>
    <row r="24" spans="1:5" x14ac:dyDescent="0.35">
      <c r="E24" t="s">
        <v>2304</v>
      </c>
    </row>
    <row r="26" spans="1:5" ht="15" x14ac:dyDescent="0.4">
      <c r="A26" s="339">
        <v>5</v>
      </c>
      <c r="C26" t="s">
        <v>2305</v>
      </c>
      <c r="E26" t="s">
        <v>2306</v>
      </c>
    </row>
    <row r="28" spans="1:5" x14ac:dyDescent="0.35">
      <c r="E28" t="s">
        <v>2307</v>
      </c>
    </row>
    <row r="30" spans="1:5" ht="15" x14ac:dyDescent="0.4">
      <c r="A30" s="339">
        <v>6</v>
      </c>
      <c r="C30" t="s">
        <v>2308</v>
      </c>
      <c r="E30" t="s">
        <v>2309</v>
      </c>
    </row>
    <row r="32" spans="1:5" x14ac:dyDescent="0.35">
      <c r="E32" t="s">
        <v>2310</v>
      </c>
    </row>
    <row r="34" spans="1:5" ht="15" x14ac:dyDescent="0.4">
      <c r="E34" s="234" t="s">
        <v>2311</v>
      </c>
    </row>
    <row r="36" spans="1:5" ht="15" x14ac:dyDescent="0.4">
      <c r="A36" s="339">
        <v>7</v>
      </c>
      <c r="C36" t="s">
        <v>2312</v>
      </c>
      <c r="E36" t="s">
        <v>2313</v>
      </c>
    </row>
    <row r="37" spans="1:5" ht="15" x14ac:dyDescent="0.4">
      <c r="B37" s="234"/>
      <c r="C37" s="234"/>
    </row>
    <row r="38" spans="1:5" ht="15" x14ac:dyDescent="0.4">
      <c r="E38" t="s">
        <v>2314</v>
      </c>
    </row>
    <row r="40" spans="1:5" ht="15" x14ac:dyDescent="0.4">
      <c r="A40" s="339">
        <v>8</v>
      </c>
      <c r="C40" t="s">
        <v>2315</v>
      </c>
      <c r="E40" t="s">
        <v>2316</v>
      </c>
    </row>
    <row r="42" spans="1:5" x14ac:dyDescent="0.35">
      <c r="E42" t="s">
        <v>2317</v>
      </c>
    </row>
    <row r="44" spans="1:5" ht="15" x14ac:dyDescent="0.4">
      <c r="A44" s="339">
        <v>9</v>
      </c>
      <c r="C44" t="s">
        <v>2318</v>
      </c>
      <c r="E44" t="s">
        <v>2319</v>
      </c>
    </row>
    <row r="46" spans="1:5" x14ac:dyDescent="0.35">
      <c r="E46" t="s">
        <v>2320</v>
      </c>
    </row>
    <row r="48" spans="1:5" ht="15" x14ac:dyDescent="0.4">
      <c r="A48" s="339">
        <v>10</v>
      </c>
      <c r="C48" t="s">
        <v>2321</v>
      </c>
      <c r="E48" t="s">
        <v>2322</v>
      </c>
    </row>
    <row r="50" spans="1:5" x14ac:dyDescent="0.35">
      <c r="E50" t="s">
        <v>2323</v>
      </c>
    </row>
    <row r="52" spans="1:5" ht="15" x14ac:dyDescent="0.4">
      <c r="A52" s="339">
        <v>11</v>
      </c>
      <c r="C52" t="s">
        <v>2324</v>
      </c>
      <c r="E52" t="s">
        <v>2325</v>
      </c>
    </row>
    <row r="54" spans="1:5" x14ac:dyDescent="0.35">
      <c r="E54" t="s">
        <v>2326</v>
      </c>
    </row>
    <row r="56" spans="1:5" x14ac:dyDescent="0.35">
      <c r="E56" t="s">
        <v>2327</v>
      </c>
    </row>
    <row r="58" spans="1:5" x14ac:dyDescent="0.35">
      <c r="E58" t="s">
        <v>2328</v>
      </c>
    </row>
    <row r="60" spans="1:5" x14ac:dyDescent="0.35">
      <c r="E60" t="s">
        <v>2329</v>
      </c>
    </row>
    <row r="62" spans="1:5" ht="15" x14ac:dyDescent="0.4">
      <c r="A62" s="339">
        <v>12</v>
      </c>
      <c r="C62" t="s">
        <v>2330</v>
      </c>
      <c r="E62" t="s">
        <v>2331</v>
      </c>
    </row>
    <row r="64" spans="1:5" ht="15" x14ac:dyDescent="0.4">
      <c r="A64" s="339">
        <v>13</v>
      </c>
      <c r="C64" t="s">
        <v>2332</v>
      </c>
      <c r="E64" t="s">
        <v>2333</v>
      </c>
    </row>
    <row r="66" spans="1:5" ht="15" x14ac:dyDescent="0.4">
      <c r="A66" s="339">
        <v>14</v>
      </c>
      <c r="C66" t="s">
        <v>2334</v>
      </c>
      <c r="E66" t="s">
        <v>2335</v>
      </c>
    </row>
    <row r="68" spans="1:5" ht="15" x14ac:dyDescent="0.4">
      <c r="A68" s="339">
        <v>15</v>
      </c>
      <c r="C68" t="s">
        <v>2336</v>
      </c>
      <c r="E68" t="s">
        <v>2337</v>
      </c>
    </row>
    <row r="70" spans="1:5" x14ac:dyDescent="0.35">
      <c r="A70" s="339">
        <v>16</v>
      </c>
      <c r="C70" t="s">
        <v>2338</v>
      </c>
      <c r="E70" t="s">
        <v>2339</v>
      </c>
    </row>
    <row r="72" spans="1:5" ht="15" x14ac:dyDescent="0.4">
      <c r="A72" s="339">
        <v>17</v>
      </c>
      <c r="C72" t="s">
        <v>2324</v>
      </c>
      <c r="E72" t="s">
        <v>2340</v>
      </c>
    </row>
    <row r="74" spans="1:5" x14ac:dyDescent="0.35">
      <c r="E74" t="s">
        <v>2341</v>
      </c>
    </row>
    <row r="76" spans="1:5" x14ac:dyDescent="0.35">
      <c r="E76" t="s">
        <v>2342</v>
      </c>
    </row>
    <row r="78" spans="1:5" x14ac:dyDescent="0.35">
      <c r="E78" t="s">
        <v>2343</v>
      </c>
    </row>
    <row r="80" spans="1:5" ht="15" x14ac:dyDescent="0.4">
      <c r="A80" s="339">
        <v>18</v>
      </c>
      <c r="C80" t="s">
        <v>2321</v>
      </c>
      <c r="E80" t="s">
        <v>2322</v>
      </c>
    </row>
    <row r="82" spans="5:5" x14ac:dyDescent="0.35">
      <c r="E82" t="s">
        <v>2344</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029C5-8034-4973-8855-D6A663F25BDA}">
  <sheetPr codeName="Sheet29">
    <tabColor rgb="FF00B050"/>
  </sheetPr>
  <dimension ref="A2:U45"/>
  <sheetViews>
    <sheetView showGridLines="0" workbookViewId="0">
      <selection activeCell="B2" sqref="B2"/>
    </sheetView>
  </sheetViews>
  <sheetFormatPr defaultColWidth="8.54296875" defaultRowHeight="14.5" x14ac:dyDescent="0.35"/>
  <cols>
    <col min="1" max="1" width="3" bestFit="1" customWidth="1"/>
    <col min="2" max="2" width="2.453125" customWidth="1"/>
    <col min="3" max="3" width="26.453125" customWidth="1"/>
    <col min="4" max="6" width="2.453125" customWidth="1"/>
    <col min="7" max="7" width="11" customWidth="1"/>
    <col min="8" max="9" width="8" customWidth="1"/>
    <col min="10" max="10" width="1.453125" customWidth="1"/>
    <col min="11" max="11" width="6.81640625" customWidth="1"/>
    <col min="12" max="12" width="8" customWidth="1"/>
    <col min="13" max="13" width="10" customWidth="1"/>
    <col min="14" max="14" width="8" customWidth="1"/>
    <col min="15" max="15" width="3" customWidth="1"/>
    <col min="16" max="17" width="32.26953125" customWidth="1"/>
    <col min="18" max="18" width="8" customWidth="1"/>
  </cols>
  <sheetData>
    <row r="2" spans="1:21" ht="16" x14ac:dyDescent="0.45">
      <c r="A2" s="25"/>
      <c r="B2" s="126"/>
      <c r="C2" s="126"/>
      <c r="D2" s="126"/>
      <c r="E2" s="126"/>
      <c r="F2" s="126"/>
      <c r="G2" s="126"/>
      <c r="H2" s="126"/>
      <c r="I2" s="126"/>
      <c r="J2" s="126"/>
      <c r="K2" s="126"/>
      <c r="L2" s="126"/>
      <c r="M2" s="126"/>
      <c r="N2" s="126"/>
      <c r="O2" s="126"/>
      <c r="P2" s="126"/>
      <c r="Q2" s="126"/>
      <c r="R2" s="126"/>
      <c r="S2" s="126"/>
      <c r="T2" s="126"/>
      <c r="U2" s="126"/>
    </row>
    <row r="3" spans="1:21" ht="16" x14ac:dyDescent="0.45">
      <c r="A3" s="25"/>
      <c r="B3" s="127" t="s">
        <v>326</v>
      </c>
      <c r="C3" s="128"/>
      <c r="D3" s="126"/>
      <c r="E3" s="126"/>
      <c r="F3" s="126"/>
      <c r="G3" s="126"/>
      <c r="H3" s="126"/>
      <c r="I3" s="126"/>
      <c r="J3" s="126"/>
      <c r="K3" s="126"/>
      <c r="L3" s="126"/>
      <c r="M3" s="126"/>
      <c r="N3" s="126"/>
      <c r="O3" s="126"/>
      <c r="P3" s="126"/>
      <c r="Q3" s="126"/>
      <c r="R3" s="126"/>
      <c r="S3" s="126"/>
      <c r="T3" s="126"/>
      <c r="U3" s="126"/>
    </row>
    <row r="4" spans="1:21" ht="16" x14ac:dyDescent="0.45">
      <c r="A4" s="25"/>
      <c r="B4" s="128" t="s">
        <v>364</v>
      </c>
      <c r="C4" s="126"/>
      <c r="D4" s="126"/>
      <c r="E4" s="126"/>
      <c r="F4" s="126"/>
      <c r="G4" s="126"/>
      <c r="H4" s="126"/>
      <c r="I4" s="126"/>
      <c r="J4" s="126"/>
      <c r="K4" s="126"/>
      <c r="L4" s="126"/>
      <c r="M4" s="126"/>
      <c r="N4" s="126"/>
      <c r="O4" s="126"/>
      <c r="P4" s="126"/>
      <c r="Q4" s="126"/>
      <c r="R4" s="126"/>
      <c r="S4" s="126"/>
      <c r="T4" s="126"/>
      <c r="U4" s="126"/>
    </row>
    <row r="5" spans="1:21" ht="16" x14ac:dyDescent="0.45">
      <c r="A5" s="25"/>
      <c r="B5" s="128"/>
      <c r="C5" s="126"/>
      <c r="D5" s="126"/>
      <c r="E5" s="126"/>
      <c r="F5" s="126"/>
      <c r="G5" s="126"/>
      <c r="H5" s="126"/>
      <c r="I5" s="126"/>
      <c r="J5" s="126"/>
      <c r="K5" s="126"/>
      <c r="L5" s="126"/>
      <c r="M5" s="126"/>
      <c r="N5" s="126"/>
      <c r="O5" s="126"/>
      <c r="P5" s="126"/>
      <c r="Q5" s="126"/>
      <c r="R5" s="126"/>
      <c r="S5" s="126"/>
      <c r="T5" s="126"/>
      <c r="U5" s="126"/>
    </row>
    <row r="8" spans="1:21" ht="16.5" x14ac:dyDescent="0.45">
      <c r="A8" s="337"/>
      <c r="B8" s="337"/>
      <c r="C8" s="272" t="s">
        <v>2136</v>
      </c>
      <c r="D8" s="272"/>
      <c r="E8" s="338" t="s">
        <v>2137</v>
      </c>
      <c r="F8" s="272"/>
      <c r="G8" s="272"/>
      <c r="H8" s="272"/>
      <c r="I8" s="272"/>
      <c r="J8" s="272"/>
      <c r="K8" s="272"/>
      <c r="L8" s="272"/>
      <c r="M8" s="272"/>
      <c r="N8" s="272"/>
      <c r="O8" s="272"/>
      <c r="P8" s="272"/>
      <c r="Q8" s="272"/>
    </row>
    <row r="10" spans="1:21" ht="15" x14ac:dyDescent="0.4">
      <c r="A10" s="342">
        <v>1</v>
      </c>
      <c r="B10" s="343"/>
      <c r="C10" s="234" t="s">
        <v>2345</v>
      </c>
      <c r="D10" s="344" t="s">
        <v>2346</v>
      </c>
    </row>
    <row r="11" spans="1:21" ht="15" x14ac:dyDescent="0.4">
      <c r="A11" s="234"/>
      <c r="B11" s="343"/>
      <c r="C11" s="234"/>
      <c r="D11" s="344"/>
    </row>
    <row r="12" spans="1:21" ht="15" x14ac:dyDescent="0.4">
      <c r="A12" s="342">
        <v>2</v>
      </c>
      <c r="B12" s="343"/>
      <c r="C12" s="234" t="s">
        <v>2347</v>
      </c>
      <c r="D12" s="344" t="s">
        <v>2348</v>
      </c>
    </row>
    <row r="13" spans="1:21" ht="15" x14ac:dyDescent="0.4">
      <c r="A13" s="234"/>
      <c r="B13" s="343"/>
      <c r="C13" s="234"/>
      <c r="D13" s="344"/>
    </row>
    <row r="14" spans="1:21" ht="15" x14ac:dyDescent="0.4">
      <c r="A14" s="342">
        <v>3</v>
      </c>
      <c r="B14" s="343"/>
      <c r="C14" s="234" t="s">
        <v>2349</v>
      </c>
      <c r="D14" s="344" t="s">
        <v>2350</v>
      </c>
    </row>
    <row r="15" spans="1:21" ht="15" x14ac:dyDescent="0.4">
      <c r="A15" s="234"/>
      <c r="B15" s="343"/>
      <c r="C15" s="234"/>
      <c r="D15" s="344"/>
    </row>
    <row r="16" spans="1:21" ht="15" x14ac:dyDescent="0.4">
      <c r="A16" s="342">
        <v>4</v>
      </c>
      <c r="B16" s="343"/>
      <c r="C16" s="234" t="s">
        <v>2351</v>
      </c>
      <c r="D16" s="344" t="s">
        <v>2352</v>
      </c>
    </row>
    <row r="17" spans="1:4" ht="15" x14ac:dyDescent="0.4">
      <c r="A17" s="234"/>
      <c r="B17" s="343"/>
      <c r="C17" s="234"/>
      <c r="D17" s="240"/>
    </row>
    <row r="18" spans="1:4" ht="15" x14ac:dyDescent="0.4">
      <c r="A18" s="342">
        <v>5</v>
      </c>
      <c r="B18" s="343"/>
      <c r="C18" s="234" t="s">
        <v>2353</v>
      </c>
      <c r="D18" s="344" t="s">
        <v>2354</v>
      </c>
    </row>
    <row r="19" spans="1:4" ht="15" x14ac:dyDescent="0.4">
      <c r="A19" s="234"/>
      <c r="B19" s="343"/>
      <c r="C19" s="234"/>
      <c r="D19" s="344"/>
    </row>
    <row r="20" spans="1:4" ht="15" x14ac:dyDescent="0.4">
      <c r="A20" s="342">
        <v>6</v>
      </c>
      <c r="B20" s="343"/>
      <c r="C20" s="234" t="s">
        <v>2355</v>
      </c>
      <c r="D20" s="344" t="s">
        <v>2356</v>
      </c>
    </row>
    <row r="21" spans="1:4" ht="15" x14ac:dyDescent="0.4">
      <c r="A21" s="234"/>
      <c r="B21" s="343"/>
      <c r="C21" s="234"/>
      <c r="D21" s="240"/>
    </row>
    <row r="22" spans="1:4" ht="15" x14ac:dyDescent="0.4">
      <c r="A22" s="342">
        <v>7</v>
      </c>
      <c r="B22" s="343"/>
      <c r="C22" s="234" t="s">
        <v>2357</v>
      </c>
      <c r="D22" s="344" t="s">
        <v>2358</v>
      </c>
    </row>
    <row r="23" spans="1:4" ht="15" x14ac:dyDescent="0.4">
      <c r="A23" s="234"/>
      <c r="B23" s="343"/>
      <c r="C23" s="234"/>
      <c r="D23" s="344"/>
    </row>
    <row r="24" spans="1:4" ht="15" x14ac:dyDescent="0.4">
      <c r="A24" s="342">
        <v>8</v>
      </c>
      <c r="B24" s="343"/>
      <c r="C24" s="234" t="s">
        <v>2359</v>
      </c>
      <c r="D24" s="344" t="s">
        <v>2360</v>
      </c>
    </row>
    <row r="25" spans="1:4" ht="15" x14ac:dyDescent="0.4">
      <c r="A25" s="234"/>
      <c r="B25" s="343"/>
      <c r="C25" s="234"/>
      <c r="D25" s="344"/>
    </row>
    <row r="26" spans="1:4" ht="15" x14ac:dyDescent="0.4">
      <c r="A26" s="342">
        <v>9</v>
      </c>
      <c r="B26" s="343"/>
      <c r="C26" s="234" t="s">
        <v>2361</v>
      </c>
      <c r="D26" s="344" t="s">
        <v>2362</v>
      </c>
    </row>
    <row r="27" spans="1:4" ht="15" x14ac:dyDescent="0.4">
      <c r="A27" s="234"/>
      <c r="B27" s="343"/>
      <c r="C27" s="345"/>
      <c r="D27" s="344"/>
    </row>
    <row r="28" spans="1:4" ht="15" x14ac:dyDescent="0.4">
      <c r="A28" s="342">
        <v>10</v>
      </c>
      <c r="B28" s="343"/>
      <c r="C28" s="234" t="s">
        <v>2363</v>
      </c>
      <c r="D28" s="344" t="s">
        <v>2364</v>
      </c>
    </row>
    <row r="29" spans="1:4" ht="15" x14ac:dyDescent="0.4">
      <c r="A29" s="234"/>
      <c r="B29" s="343"/>
      <c r="C29" s="234"/>
      <c r="D29" s="240"/>
    </row>
    <row r="30" spans="1:4" ht="15" x14ac:dyDescent="0.4">
      <c r="A30" s="342">
        <v>11</v>
      </c>
      <c r="B30" s="343"/>
      <c r="C30" s="234" t="s">
        <v>2365</v>
      </c>
      <c r="D30" s="344" t="s">
        <v>2366</v>
      </c>
    </row>
    <row r="31" spans="1:4" ht="15" x14ac:dyDescent="0.4">
      <c r="A31" s="234"/>
      <c r="B31" s="343"/>
      <c r="C31" s="234"/>
      <c r="D31" s="344"/>
    </row>
    <row r="32" spans="1:4" ht="15" x14ac:dyDescent="0.4">
      <c r="A32" s="342">
        <v>12</v>
      </c>
      <c r="B32" s="343"/>
      <c r="C32" s="234" t="s">
        <v>2367</v>
      </c>
      <c r="D32" s="344" t="s">
        <v>2368</v>
      </c>
    </row>
    <row r="33" spans="1:4" ht="15" x14ac:dyDescent="0.4">
      <c r="A33" s="234"/>
      <c r="B33" s="343"/>
      <c r="C33" s="234"/>
      <c r="D33" s="344"/>
    </row>
    <row r="34" spans="1:4" ht="15" x14ac:dyDescent="0.4">
      <c r="A34" s="342">
        <v>13</v>
      </c>
      <c r="B34" s="343"/>
      <c r="C34" s="234" t="s">
        <v>2369</v>
      </c>
      <c r="D34" s="344" t="s">
        <v>2370</v>
      </c>
    </row>
    <row r="35" spans="1:4" ht="15" x14ac:dyDescent="0.4">
      <c r="A35" s="234"/>
      <c r="B35" s="343"/>
      <c r="C35" s="234"/>
      <c r="D35" s="344"/>
    </row>
    <row r="36" spans="1:4" ht="15" x14ac:dyDescent="0.4">
      <c r="A36" s="342">
        <v>14</v>
      </c>
      <c r="B36" s="343"/>
      <c r="C36" s="234" t="s">
        <v>2371</v>
      </c>
      <c r="D36" s="344" t="s">
        <v>2372</v>
      </c>
    </row>
    <row r="37" spans="1:4" ht="15" x14ac:dyDescent="0.4">
      <c r="A37" s="234"/>
      <c r="B37" s="343"/>
      <c r="C37" s="234"/>
      <c r="D37" s="344"/>
    </row>
    <row r="38" spans="1:4" ht="15" x14ac:dyDescent="0.4">
      <c r="A38" s="342">
        <v>15</v>
      </c>
      <c r="B38" s="343"/>
      <c r="C38" s="234" t="s">
        <v>2373</v>
      </c>
      <c r="D38" s="344" t="s">
        <v>2374</v>
      </c>
    </row>
    <row r="39" spans="1:4" ht="15" x14ac:dyDescent="0.4">
      <c r="A39" s="234"/>
      <c r="B39" s="343"/>
      <c r="C39" s="234"/>
      <c r="D39" s="344"/>
    </row>
    <row r="40" spans="1:4" ht="15" x14ac:dyDescent="0.4">
      <c r="A40" s="342">
        <v>16</v>
      </c>
      <c r="B40" s="343"/>
      <c r="C40" s="234" t="s">
        <v>2375</v>
      </c>
      <c r="D40" s="344" t="s">
        <v>2376</v>
      </c>
    </row>
    <row r="41" spans="1:4" ht="15" x14ac:dyDescent="0.4">
      <c r="A41" s="234"/>
      <c r="B41" s="343"/>
      <c r="C41" s="345"/>
      <c r="D41" s="344"/>
    </row>
    <row r="42" spans="1:4" ht="15" x14ac:dyDescent="0.4">
      <c r="A42" s="342">
        <v>17</v>
      </c>
      <c r="B42" s="343"/>
      <c r="C42" s="234" t="s">
        <v>2377</v>
      </c>
      <c r="D42" s="344" t="s">
        <v>2378</v>
      </c>
    </row>
    <row r="43" spans="1:4" ht="15" x14ac:dyDescent="0.4">
      <c r="A43" s="234"/>
      <c r="B43" s="343"/>
      <c r="C43" s="343"/>
      <c r="D43" s="343"/>
    </row>
    <row r="44" spans="1:4" ht="15" x14ac:dyDescent="0.4">
      <c r="A44" s="234"/>
      <c r="B44" s="343"/>
      <c r="C44" s="343"/>
      <c r="D44" s="343"/>
    </row>
    <row r="45" spans="1:4" ht="15" x14ac:dyDescent="0.4">
      <c r="A45" s="234"/>
      <c r="B45" s="343"/>
      <c r="C45" s="343"/>
      <c r="D45" s="343"/>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609E7-66FD-439A-A57E-028A5D8123BE}">
  <sheetPr codeName="Sheet30">
    <tabColor rgb="FF00B050"/>
  </sheetPr>
  <dimension ref="A2:U112"/>
  <sheetViews>
    <sheetView showGridLines="0" workbookViewId="0">
      <selection activeCell="B2" sqref="B2"/>
    </sheetView>
  </sheetViews>
  <sheetFormatPr defaultColWidth="8.54296875" defaultRowHeight="14.5" x14ac:dyDescent="0.35"/>
  <cols>
    <col min="1" max="1" width="3" bestFit="1" customWidth="1"/>
    <col min="2" max="2" width="2.453125" customWidth="1"/>
    <col min="3" max="3" width="26.453125" customWidth="1"/>
    <col min="4" max="6" width="2.453125" customWidth="1"/>
    <col min="7" max="7" width="11" customWidth="1"/>
    <col min="8" max="9" width="8" customWidth="1"/>
    <col min="10" max="10" width="1.453125" customWidth="1"/>
    <col min="11" max="11" width="6.81640625" customWidth="1"/>
    <col min="12" max="12" width="8" customWidth="1"/>
    <col min="13" max="13" width="10" customWidth="1"/>
    <col min="14" max="14" width="8" customWidth="1"/>
    <col min="15" max="15" width="3" customWidth="1"/>
    <col min="16" max="17" width="32.26953125" customWidth="1"/>
    <col min="18" max="18" width="8" customWidth="1"/>
  </cols>
  <sheetData>
    <row r="2" spans="1:21" ht="16" x14ac:dyDescent="0.45">
      <c r="A2" s="25"/>
      <c r="B2" s="126"/>
      <c r="C2" s="126"/>
      <c r="D2" s="126"/>
      <c r="E2" s="126"/>
      <c r="F2" s="126"/>
      <c r="G2" s="126"/>
      <c r="H2" s="126"/>
      <c r="I2" s="126"/>
      <c r="J2" s="126"/>
      <c r="K2" s="126"/>
      <c r="L2" s="126"/>
      <c r="M2" s="126"/>
      <c r="N2" s="126"/>
      <c r="O2" s="126"/>
      <c r="P2" s="126"/>
      <c r="Q2" s="126"/>
      <c r="R2" s="126"/>
      <c r="S2" s="126"/>
      <c r="T2" s="126"/>
      <c r="U2" s="126"/>
    </row>
    <row r="3" spans="1:21" ht="16" x14ac:dyDescent="0.45">
      <c r="A3" s="25"/>
      <c r="B3" s="127" t="s">
        <v>326</v>
      </c>
      <c r="C3" s="128"/>
      <c r="D3" s="126"/>
      <c r="E3" s="126"/>
      <c r="F3" s="126"/>
      <c r="G3" s="126"/>
      <c r="H3" s="126"/>
      <c r="I3" s="126"/>
      <c r="J3" s="126"/>
      <c r="K3" s="126"/>
      <c r="L3" s="126"/>
      <c r="M3" s="126"/>
      <c r="N3" s="126"/>
      <c r="O3" s="126"/>
      <c r="P3" s="126"/>
      <c r="Q3" s="126"/>
      <c r="R3" s="126"/>
      <c r="S3" s="126"/>
      <c r="T3" s="126"/>
      <c r="U3" s="126"/>
    </row>
    <row r="4" spans="1:21" ht="16" x14ac:dyDescent="0.45">
      <c r="A4" s="25"/>
      <c r="B4" s="128" t="s">
        <v>364</v>
      </c>
      <c r="C4" s="126"/>
      <c r="D4" s="126"/>
      <c r="E4" s="126"/>
      <c r="F4" s="126"/>
      <c r="G4" s="126"/>
      <c r="H4" s="126"/>
      <c r="I4" s="126"/>
      <c r="J4" s="126"/>
      <c r="K4" s="126"/>
      <c r="L4" s="126"/>
      <c r="M4" s="126"/>
      <c r="N4" s="126"/>
      <c r="O4" s="126"/>
      <c r="P4" s="126"/>
      <c r="Q4" s="126"/>
      <c r="R4" s="126"/>
      <c r="S4" s="126"/>
      <c r="T4" s="126"/>
      <c r="U4" s="126"/>
    </row>
    <row r="5" spans="1:21" ht="16" x14ac:dyDescent="0.45">
      <c r="A5" s="25"/>
      <c r="B5" s="128"/>
      <c r="C5" s="126"/>
      <c r="D5" s="126"/>
      <c r="E5" s="126"/>
      <c r="F5" s="126"/>
      <c r="G5" s="126"/>
      <c r="H5" s="126"/>
      <c r="I5" s="126"/>
      <c r="J5" s="126"/>
      <c r="K5" s="126"/>
      <c r="L5" s="126"/>
      <c r="M5" s="126"/>
      <c r="N5" s="126"/>
      <c r="O5" s="126"/>
      <c r="P5" s="126"/>
      <c r="Q5" s="126"/>
      <c r="R5" s="126"/>
      <c r="S5" s="126"/>
      <c r="T5" s="126"/>
      <c r="U5" s="126"/>
    </row>
    <row r="8" spans="1:21" ht="16.5" x14ac:dyDescent="0.45">
      <c r="A8" s="337"/>
      <c r="B8" s="337"/>
      <c r="C8" s="272" t="s">
        <v>2136</v>
      </c>
      <c r="D8" s="272"/>
      <c r="E8" s="338" t="s">
        <v>2137</v>
      </c>
      <c r="F8" s="272"/>
      <c r="G8" s="272"/>
      <c r="H8" s="272"/>
      <c r="I8" s="272"/>
      <c r="J8" s="272"/>
      <c r="K8" s="272"/>
      <c r="L8" s="272"/>
      <c r="M8" s="272"/>
      <c r="N8" s="272"/>
      <c r="O8" s="272"/>
      <c r="P8" s="272"/>
      <c r="Q8" s="272"/>
    </row>
    <row r="10" spans="1:21" ht="15" x14ac:dyDescent="0.4">
      <c r="A10" s="339">
        <v>1</v>
      </c>
      <c r="C10" t="s">
        <v>2379</v>
      </c>
      <c r="D10" t="s">
        <v>2380</v>
      </c>
    </row>
    <row r="12" spans="1:21" x14ac:dyDescent="0.35">
      <c r="D12" t="s">
        <v>2381</v>
      </c>
    </row>
    <row r="14" spans="1:21" x14ac:dyDescent="0.35">
      <c r="D14" t="s">
        <v>2382</v>
      </c>
    </row>
    <row r="15" spans="1:21" x14ac:dyDescent="0.35">
      <c r="D15" t="s">
        <v>2383</v>
      </c>
    </row>
    <row r="17" spans="1:4" x14ac:dyDescent="0.35">
      <c r="D17" s="341" t="s">
        <v>2384</v>
      </c>
    </row>
    <row r="19" spans="1:4" x14ac:dyDescent="0.35">
      <c r="D19" t="s">
        <v>2385</v>
      </c>
    </row>
    <row r="21" spans="1:4" ht="15" x14ac:dyDescent="0.4">
      <c r="C21" s="234"/>
      <c r="D21" t="s">
        <v>2386</v>
      </c>
    </row>
    <row r="23" spans="1:4" x14ac:dyDescent="0.35">
      <c r="D23" t="s">
        <v>2387</v>
      </c>
    </row>
    <row r="24" spans="1:4" x14ac:dyDescent="0.35">
      <c r="D24" t="s">
        <v>2388</v>
      </c>
    </row>
    <row r="27" spans="1:4" ht="15" x14ac:dyDescent="0.4">
      <c r="A27" s="339">
        <v>2</v>
      </c>
      <c r="C27" t="s">
        <v>2389</v>
      </c>
      <c r="D27" t="s">
        <v>2390</v>
      </c>
    </row>
    <row r="29" spans="1:4" x14ac:dyDescent="0.35">
      <c r="D29" t="s">
        <v>2381</v>
      </c>
    </row>
    <row r="31" spans="1:4" x14ac:dyDescent="0.35">
      <c r="D31" t="s">
        <v>2382</v>
      </c>
    </row>
    <row r="32" spans="1:4" x14ac:dyDescent="0.35">
      <c r="D32" t="s">
        <v>2383</v>
      </c>
    </row>
    <row r="34" spans="1:4" x14ac:dyDescent="0.35">
      <c r="D34" s="341" t="s">
        <v>2384</v>
      </c>
    </row>
    <row r="36" spans="1:4" x14ac:dyDescent="0.35">
      <c r="D36" t="s">
        <v>2391</v>
      </c>
    </row>
    <row r="38" spans="1:4" x14ac:dyDescent="0.35">
      <c r="D38" t="s">
        <v>2386</v>
      </c>
    </row>
    <row r="40" spans="1:4" x14ac:dyDescent="0.35">
      <c r="D40" t="s">
        <v>2387</v>
      </c>
    </row>
    <row r="41" spans="1:4" x14ac:dyDescent="0.35">
      <c r="D41" t="s">
        <v>2388</v>
      </c>
    </row>
    <row r="44" spans="1:4" x14ac:dyDescent="0.35">
      <c r="A44" s="339">
        <v>3</v>
      </c>
      <c r="C44" t="s">
        <v>2392</v>
      </c>
      <c r="D44" t="s">
        <v>2393</v>
      </c>
    </row>
    <row r="46" spans="1:4" x14ac:dyDescent="0.35">
      <c r="D46" t="s">
        <v>2394</v>
      </c>
    </row>
    <row r="48" spans="1:4" x14ac:dyDescent="0.35">
      <c r="D48" t="s">
        <v>2395</v>
      </c>
    </row>
    <row r="50" spans="1:4" x14ac:dyDescent="0.35">
      <c r="D50" t="s">
        <v>2396</v>
      </c>
    </row>
    <row r="51" spans="1:4" x14ac:dyDescent="0.35">
      <c r="D51" t="s">
        <v>2397</v>
      </c>
    </row>
    <row r="53" spans="1:4" x14ac:dyDescent="0.35">
      <c r="D53" t="s">
        <v>2398</v>
      </c>
    </row>
    <row r="54" spans="1:4" x14ac:dyDescent="0.35">
      <c r="D54" t="s">
        <v>2399</v>
      </c>
    </row>
    <row r="57" spans="1:4" x14ac:dyDescent="0.35">
      <c r="A57" s="339">
        <v>4</v>
      </c>
      <c r="C57" t="s">
        <v>2400</v>
      </c>
      <c r="D57" t="s">
        <v>2401</v>
      </c>
    </row>
    <row r="59" spans="1:4" x14ac:dyDescent="0.35">
      <c r="D59" t="s">
        <v>2402</v>
      </c>
    </row>
    <row r="61" spans="1:4" x14ac:dyDescent="0.35">
      <c r="D61" t="s">
        <v>2403</v>
      </c>
    </row>
    <row r="64" spans="1:4" x14ac:dyDescent="0.35">
      <c r="A64" s="339">
        <v>5</v>
      </c>
      <c r="C64" t="s">
        <v>2404</v>
      </c>
      <c r="D64" t="s">
        <v>2405</v>
      </c>
    </row>
    <row r="66" spans="1:4" x14ac:dyDescent="0.35">
      <c r="D66" t="s">
        <v>2406</v>
      </c>
    </row>
    <row r="68" spans="1:4" x14ac:dyDescent="0.35">
      <c r="D68" t="s">
        <v>2403</v>
      </c>
    </row>
    <row r="71" spans="1:4" x14ac:dyDescent="0.35">
      <c r="A71" s="339">
        <v>6</v>
      </c>
      <c r="C71" t="s">
        <v>2407</v>
      </c>
      <c r="D71" t="s">
        <v>2408</v>
      </c>
    </row>
    <row r="73" spans="1:4" x14ac:dyDescent="0.35">
      <c r="D73" t="s">
        <v>2409</v>
      </c>
    </row>
    <row r="75" spans="1:4" x14ac:dyDescent="0.35">
      <c r="A75" s="339">
        <v>7</v>
      </c>
      <c r="C75" t="s">
        <v>2410</v>
      </c>
      <c r="D75" t="s">
        <v>2411</v>
      </c>
    </row>
    <row r="77" spans="1:4" x14ac:dyDescent="0.35">
      <c r="D77" t="s">
        <v>2412</v>
      </c>
    </row>
    <row r="80" spans="1:4" x14ac:dyDescent="0.35">
      <c r="A80" s="339">
        <v>8</v>
      </c>
      <c r="C80" t="s">
        <v>2413</v>
      </c>
      <c r="D80" t="s">
        <v>2414</v>
      </c>
    </row>
    <row r="81" spans="1:4" x14ac:dyDescent="0.35">
      <c r="D81" t="s">
        <v>2415</v>
      </c>
    </row>
    <row r="83" spans="1:4" x14ac:dyDescent="0.35">
      <c r="A83" s="339">
        <v>9</v>
      </c>
      <c r="C83" t="s">
        <v>2416</v>
      </c>
      <c r="D83" t="s">
        <v>2417</v>
      </c>
    </row>
    <row r="84" spans="1:4" x14ac:dyDescent="0.35">
      <c r="D84" t="s">
        <v>2418</v>
      </c>
    </row>
    <row r="86" spans="1:4" x14ac:dyDescent="0.35">
      <c r="A86" s="339">
        <v>10</v>
      </c>
      <c r="C86" t="s">
        <v>2419</v>
      </c>
      <c r="D86" t="s">
        <v>2420</v>
      </c>
    </row>
    <row r="87" spans="1:4" x14ac:dyDescent="0.35">
      <c r="D87" t="s">
        <v>2421</v>
      </c>
    </row>
    <row r="89" spans="1:4" x14ac:dyDescent="0.35">
      <c r="A89" s="339">
        <v>11</v>
      </c>
      <c r="C89" t="s">
        <v>2422</v>
      </c>
      <c r="D89" t="s">
        <v>2423</v>
      </c>
    </row>
    <row r="90" spans="1:4" x14ac:dyDescent="0.35">
      <c r="D90" t="s">
        <v>2424</v>
      </c>
    </row>
    <row r="92" spans="1:4" x14ac:dyDescent="0.35">
      <c r="A92" s="339">
        <v>12</v>
      </c>
      <c r="C92" t="s">
        <v>2425</v>
      </c>
      <c r="D92" t="s">
        <v>2426</v>
      </c>
    </row>
    <row r="94" spans="1:4" x14ac:dyDescent="0.35">
      <c r="D94" t="s">
        <v>2427</v>
      </c>
    </row>
    <row r="95" spans="1:4" x14ac:dyDescent="0.35">
      <c r="D95" t="s">
        <v>2428</v>
      </c>
    </row>
    <row r="97" spans="1:4" x14ac:dyDescent="0.35">
      <c r="A97" s="339">
        <v>13</v>
      </c>
      <c r="C97" t="s">
        <v>2429</v>
      </c>
      <c r="D97" t="s">
        <v>2430</v>
      </c>
    </row>
    <row r="99" spans="1:4" x14ac:dyDescent="0.35">
      <c r="D99" t="s">
        <v>2431</v>
      </c>
    </row>
    <row r="100" spans="1:4" x14ac:dyDescent="0.35">
      <c r="D100" t="s">
        <v>2432</v>
      </c>
    </row>
    <row r="101" spans="1:4" x14ac:dyDescent="0.35">
      <c r="D101" t="s">
        <v>2433</v>
      </c>
    </row>
    <row r="103" spans="1:4" x14ac:dyDescent="0.35">
      <c r="A103" s="339">
        <v>14</v>
      </c>
      <c r="C103" t="s">
        <v>2434</v>
      </c>
      <c r="D103" t="s">
        <v>2435</v>
      </c>
    </row>
    <row r="104" spans="1:4" x14ac:dyDescent="0.35">
      <c r="D104" t="s">
        <v>2436</v>
      </c>
    </row>
    <row r="106" spans="1:4" x14ac:dyDescent="0.35">
      <c r="A106" s="339">
        <v>15</v>
      </c>
      <c r="C106" t="s">
        <v>2437</v>
      </c>
      <c r="D106" t="s">
        <v>2438</v>
      </c>
    </row>
    <row r="107" spans="1:4" x14ac:dyDescent="0.35">
      <c r="D107" t="s">
        <v>2439</v>
      </c>
    </row>
    <row r="109" spans="1:4" x14ac:dyDescent="0.35">
      <c r="A109" s="339">
        <v>16</v>
      </c>
      <c r="C109" t="s">
        <v>2440</v>
      </c>
      <c r="D109" t="s">
        <v>2441</v>
      </c>
    </row>
    <row r="111" spans="1:4" x14ac:dyDescent="0.35">
      <c r="D111" t="s">
        <v>2442</v>
      </c>
    </row>
    <row r="112" spans="1:4" x14ac:dyDescent="0.35">
      <c r="D112" t="s">
        <v>2443</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F7629-F380-4607-B67D-B61981B1155C}">
  <sheetPr codeName="Sheet32">
    <tabColor rgb="FF00B050"/>
  </sheetPr>
  <dimension ref="A1:I64"/>
  <sheetViews>
    <sheetView showGridLines="0" zoomScaleNormal="100" workbookViewId="0">
      <selection activeCell="B2" sqref="B2"/>
    </sheetView>
  </sheetViews>
  <sheetFormatPr defaultColWidth="9.1796875" defaultRowHeight="14" x14ac:dyDescent="0.4"/>
  <cols>
    <col min="1" max="1" width="3" style="274" bestFit="1" customWidth="1"/>
    <col min="2" max="2" width="2.26953125" style="274" customWidth="1"/>
    <col min="3" max="3" width="38.26953125" style="274" customWidth="1"/>
    <col min="4" max="4" width="116.54296875" style="274" customWidth="1"/>
    <col min="5" max="7" width="9.453125" style="274" customWidth="1"/>
    <col min="8" max="16384" width="9.1796875" style="274"/>
  </cols>
  <sheetData>
    <row r="1" spans="1:9" customFormat="1" ht="14.5" x14ac:dyDescent="0.35"/>
    <row r="2" spans="1:9" customFormat="1" ht="16" x14ac:dyDescent="0.45">
      <c r="A2" s="25"/>
      <c r="B2" s="126"/>
      <c r="C2" s="126"/>
      <c r="D2" s="126"/>
      <c r="E2" s="126"/>
      <c r="F2" s="126"/>
      <c r="G2" s="126"/>
      <c r="H2" s="126"/>
      <c r="I2" s="126"/>
    </row>
    <row r="3" spans="1:9" customFormat="1" ht="16" x14ac:dyDescent="0.45">
      <c r="A3" s="25"/>
      <c r="B3" s="127" t="s">
        <v>326</v>
      </c>
      <c r="C3" s="128"/>
      <c r="D3" s="126"/>
      <c r="E3" s="126"/>
      <c r="F3" s="126"/>
      <c r="G3" s="126"/>
      <c r="H3" s="126"/>
      <c r="I3" s="126"/>
    </row>
    <row r="4" spans="1:9" customFormat="1" ht="16" x14ac:dyDescent="0.45">
      <c r="A4" s="25"/>
      <c r="B4" s="128" t="s">
        <v>364</v>
      </c>
      <c r="C4" s="126"/>
      <c r="D4" s="126"/>
      <c r="E4" s="126"/>
      <c r="F4" s="126"/>
      <c r="G4" s="126"/>
      <c r="H4" s="126"/>
      <c r="I4" s="126"/>
    </row>
    <row r="5" spans="1:9" customFormat="1" ht="16" x14ac:dyDescent="0.45">
      <c r="A5" s="25"/>
      <c r="B5" s="128"/>
      <c r="C5" s="126"/>
      <c r="D5" s="126"/>
      <c r="E5" s="126"/>
      <c r="F5" s="126"/>
      <c r="G5" s="126"/>
      <c r="H5" s="126"/>
      <c r="I5" s="126"/>
    </row>
    <row r="6" spans="1:9" customFormat="1" ht="14.5" x14ac:dyDescent="0.35"/>
    <row r="8" spans="1:9" x14ac:dyDescent="0.4">
      <c r="C8" s="284" t="s">
        <v>703</v>
      </c>
      <c r="D8" s="284"/>
      <c r="E8" s="283"/>
      <c r="F8" s="283"/>
      <c r="G8" s="283"/>
    </row>
    <row r="9" spans="1:9" x14ac:dyDescent="0.4">
      <c r="A9" s="331">
        <v>1</v>
      </c>
    </row>
    <row r="10" spans="1:9" ht="15" x14ac:dyDescent="0.4">
      <c r="C10" s="274" t="s">
        <v>702</v>
      </c>
    </row>
    <row r="11" spans="1:9" x14ac:dyDescent="0.4">
      <c r="C11" s="274" t="s">
        <v>701</v>
      </c>
    </row>
    <row r="13" spans="1:9" x14ac:dyDescent="0.4">
      <c r="C13" s="274" t="s">
        <v>700</v>
      </c>
    </row>
    <row r="15" spans="1:9" ht="15" x14ac:dyDescent="0.4">
      <c r="C15" s="274" t="s">
        <v>699</v>
      </c>
    </row>
    <row r="16" spans="1:9" x14ac:dyDescent="0.4">
      <c r="C16" s="274" t="s">
        <v>698</v>
      </c>
    </row>
    <row r="17" spans="1:7" x14ac:dyDescent="0.4">
      <c r="D17" s="282"/>
    </row>
    <row r="18" spans="1:7" ht="15" x14ac:dyDescent="0.4">
      <c r="C18" s="274" t="s">
        <v>697</v>
      </c>
    </row>
    <row r="20" spans="1:7" ht="15" x14ac:dyDescent="0.4">
      <c r="C20" s="274" t="s">
        <v>696</v>
      </c>
    </row>
    <row r="21" spans="1:7" x14ac:dyDescent="0.4">
      <c r="C21" s="274" t="s">
        <v>695</v>
      </c>
    </row>
    <row r="22" spans="1:7" x14ac:dyDescent="0.4">
      <c r="C22" s="276"/>
    </row>
    <row r="24" spans="1:7" x14ac:dyDescent="0.4">
      <c r="C24" s="276" t="s">
        <v>694</v>
      </c>
    </row>
    <row r="25" spans="1:7" x14ac:dyDescent="0.4">
      <c r="A25" s="331">
        <v>2</v>
      </c>
      <c r="C25" s="281"/>
      <c r="D25" s="281"/>
      <c r="E25" s="281"/>
      <c r="F25" s="281"/>
      <c r="G25" s="281"/>
    </row>
    <row r="27" spans="1:7" ht="15" x14ac:dyDescent="0.4">
      <c r="C27" s="274" t="s">
        <v>693</v>
      </c>
    </row>
    <row r="28" spans="1:7" x14ac:dyDescent="0.4">
      <c r="C28" s="274" t="s">
        <v>692</v>
      </c>
    </row>
    <row r="30" spans="1:7" x14ac:dyDescent="0.4">
      <c r="C30" s="274" t="s">
        <v>691</v>
      </c>
    </row>
    <row r="31" spans="1:7" x14ac:dyDescent="0.4">
      <c r="C31" s="274" t="s">
        <v>690</v>
      </c>
    </row>
    <row r="32" spans="1:7" x14ac:dyDescent="0.4">
      <c r="C32" s="274" t="s">
        <v>689</v>
      </c>
      <c r="D32" s="282"/>
    </row>
    <row r="35" spans="3:3" x14ac:dyDescent="0.4">
      <c r="C35" s="274" t="s">
        <v>688</v>
      </c>
    </row>
    <row r="52" spans="1:7" x14ac:dyDescent="0.4">
      <c r="C52" s="276" t="s">
        <v>687</v>
      </c>
    </row>
    <row r="53" spans="1:7" x14ac:dyDescent="0.4">
      <c r="A53" s="331">
        <v>3</v>
      </c>
      <c r="C53" s="281"/>
      <c r="D53" s="281"/>
      <c r="E53" s="281"/>
      <c r="F53" s="281"/>
      <c r="G53" s="281"/>
    </row>
    <row r="54" spans="1:7" ht="15" x14ac:dyDescent="0.4">
      <c r="C54" s="274" t="s">
        <v>686</v>
      </c>
    </row>
    <row r="55" spans="1:7" x14ac:dyDescent="0.4">
      <c r="C55" s="274" t="s">
        <v>685</v>
      </c>
    </row>
    <row r="58" spans="1:7" x14ac:dyDescent="0.4">
      <c r="C58" s="276" t="s">
        <v>684</v>
      </c>
    </row>
    <row r="59" spans="1:7" x14ac:dyDescent="0.4">
      <c r="A59" s="331">
        <v>4</v>
      </c>
      <c r="C59" s="281"/>
      <c r="D59" s="281"/>
      <c r="E59" s="281"/>
      <c r="F59" s="281"/>
      <c r="G59" s="281"/>
    </row>
    <row r="60" spans="1:7" ht="15" x14ac:dyDescent="0.4">
      <c r="C60" s="274" t="s">
        <v>683</v>
      </c>
    </row>
    <row r="62" spans="1:7" x14ac:dyDescent="0.4">
      <c r="C62" s="274" t="s">
        <v>682</v>
      </c>
    </row>
    <row r="64" spans="1:7" x14ac:dyDescent="0.4">
      <c r="C64" s="274" t="s">
        <v>681</v>
      </c>
    </row>
  </sheetData>
  <pageMargins left="0.7" right="0.7" top="0.75" bottom="0.75" header="0.3" footer="0.3"/>
  <pageSetup paperSize="9" orientation="portrait" horizontalDpi="300"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AD95B-8757-428B-96D2-5FA369FBAEFF}">
  <sheetPr codeName="Sheet31">
    <tabColor rgb="FF00B050"/>
  </sheetPr>
  <dimension ref="A1:V287"/>
  <sheetViews>
    <sheetView showGridLines="0" workbookViewId="0">
      <selection activeCell="B2" sqref="B2"/>
    </sheetView>
  </sheetViews>
  <sheetFormatPr defaultColWidth="8.81640625" defaultRowHeight="12.75" customHeight="1" x14ac:dyDescent="0.4"/>
  <cols>
    <col min="1" max="1" width="2.453125" style="274" customWidth="1"/>
    <col min="2" max="2" width="8" style="274" customWidth="1"/>
    <col min="3" max="3" width="4.453125" style="275" customWidth="1"/>
    <col min="4" max="6" width="2.453125" style="274" customWidth="1"/>
    <col min="7" max="7" width="11" style="274" customWidth="1"/>
    <col min="8" max="9" width="8" style="274" customWidth="1"/>
    <col min="10" max="10" width="1.453125" style="274" customWidth="1"/>
    <col min="11" max="11" width="6.81640625" style="274" customWidth="1"/>
    <col min="12" max="14" width="8" style="274" customWidth="1"/>
    <col min="15" max="15" width="32.453125" style="274" customWidth="1"/>
    <col min="16" max="16" width="3" style="274" customWidth="1"/>
    <col min="17" max="18" width="32.26953125" style="274" customWidth="1"/>
    <col min="19" max="19" width="8" style="274" customWidth="1"/>
    <col min="20" max="16384" width="8.81640625" style="274"/>
  </cols>
  <sheetData>
    <row r="1" spans="1:22" customFormat="1" ht="14.5" x14ac:dyDescent="0.35"/>
    <row r="2" spans="1:22" customFormat="1" ht="16" x14ac:dyDescent="0.45">
      <c r="A2" s="25"/>
      <c r="B2" s="126"/>
      <c r="C2" s="126"/>
      <c r="D2" s="126"/>
      <c r="E2" s="126"/>
      <c r="F2" s="126"/>
      <c r="G2" s="126"/>
      <c r="H2" s="126"/>
      <c r="I2" s="126"/>
      <c r="J2" s="126"/>
      <c r="K2" s="126"/>
      <c r="L2" s="126"/>
      <c r="M2" s="126"/>
      <c r="N2" s="126"/>
      <c r="O2" s="126"/>
      <c r="P2" s="126"/>
      <c r="Q2" s="126"/>
      <c r="R2" s="126"/>
      <c r="S2" s="126"/>
      <c r="T2" s="126"/>
      <c r="U2" s="126"/>
      <c r="V2" s="126"/>
    </row>
    <row r="3" spans="1:22" customFormat="1" ht="16" x14ac:dyDescent="0.45">
      <c r="A3" s="25"/>
      <c r="B3" s="127" t="s">
        <v>326</v>
      </c>
      <c r="C3" s="128"/>
      <c r="D3" s="126"/>
      <c r="E3" s="126"/>
      <c r="F3" s="126"/>
      <c r="G3" s="126"/>
      <c r="H3" s="126"/>
      <c r="I3" s="126"/>
      <c r="J3" s="126"/>
      <c r="K3" s="126"/>
      <c r="L3" s="126"/>
      <c r="M3" s="126"/>
      <c r="N3" s="126"/>
      <c r="O3" s="126"/>
      <c r="P3" s="126"/>
      <c r="Q3" s="126"/>
      <c r="R3" s="126"/>
      <c r="S3" s="126"/>
      <c r="T3" s="126"/>
      <c r="U3" s="126"/>
      <c r="V3" s="126"/>
    </row>
    <row r="4" spans="1:22" customFormat="1" ht="16" x14ac:dyDescent="0.45">
      <c r="A4" s="25"/>
      <c r="B4" s="128" t="s">
        <v>364</v>
      </c>
      <c r="C4" s="126"/>
      <c r="D4" s="126"/>
      <c r="E4" s="126"/>
      <c r="F4" s="126"/>
      <c r="G4" s="126"/>
      <c r="H4" s="126"/>
      <c r="I4" s="126"/>
      <c r="J4" s="126"/>
      <c r="K4" s="126"/>
      <c r="L4" s="126"/>
      <c r="M4" s="126"/>
      <c r="N4" s="126"/>
      <c r="O4" s="126"/>
      <c r="P4" s="126"/>
      <c r="Q4" s="126"/>
      <c r="R4" s="126"/>
      <c r="S4" s="126"/>
      <c r="T4" s="126"/>
      <c r="U4" s="126"/>
      <c r="V4" s="126"/>
    </row>
    <row r="5" spans="1:22" customFormat="1" ht="16" x14ac:dyDescent="0.45">
      <c r="A5" s="25"/>
      <c r="B5" s="128"/>
      <c r="C5" s="126"/>
      <c r="D5" s="126"/>
      <c r="E5" s="126"/>
      <c r="F5" s="126"/>
      <c r="G5" s="126"/>
      <c r="H5" s="126"/>
      <c r="I5" s="126"/>
      <c r="J5" s="126"/>
      <c r="K5" s="126"/>
      <c r="L5" s="126"/>
      <c r="M5" s="126"/>
      <c r="N5" s="126"/>
      <c r="O5" s="126"/>
      <c r="P5" s="126"/>
      <c r="Q5" s="126"/>
      <c r="R5" s="126"/>
      <c r="S5" s="126"/>
      <c r="T5" s="126"/>
      <c r="U5" s="126"/>
      <c r="V5" s="126"/>
    </row>
    <row r="6" spans="1:22" customFormat="1" ht="14.5" x14ac:dyDescent="0.35"/>
    <row r="7" spans="1:22" ht="14" x14ac:dyDescent="0.4">
      <c r="C7" s="275">
        <v>1</v>
      </c>
      <c r="D7" s="276" t="s">
        <v>749</v>
      </c>
    </row>
    <row r="8" spans="1:22" ht="14" x14ac:dyDescent="0.4"/>
    <row r="9" spans="1:22" ht="14" x14ac:dyDescent="0.4">
      <c r="E9" s="317" t="s">
        <v>750</v>
      </c>
    </row>
    <row r="10" spans="1:22" ht="14" x14ac:dyDescent="0.4"/>
    <row r="11" spans="1:22" ht="14" x14ac:dyDescent="0.4">
      <c r="E11" s="274" t="s">
        <v>751</v>
      </c>
    </row>
    <row r="12" spans="1:22" ht="14" x14ac:dyDescent="0.4">
      <c r="E12" s="274" t="s">
        <v>752</v>
      </c>
    </row>
    <row r="13" spans="1:22" ht="14" x14ac:dyDescent="0.4">
      <c r="E13" s="274" t="s">
        <v>753</v>
      </c>
    </row>
    <row r="14" spans="1:22" ht="14" x14ac:dyDescent="0.4"/>
    <row r="15" spans="1:22" ht="14" x14ac:dyDescent="0.4"/>
    <row r="16" spans="1:22" ht="15" x14ac:dyDescent="0.4">
      <c r="E16" s="274" t="s">
        <v>754</v>
      </c>
    </row>
    <row r="17" spans="5:6" ht="14" x14ac:dyDescent="0.4">
      <c r="E17" s="274" t="s">
        <v>755</v>
      </c>
    </row>
    <row r="18" spans="5:6" ht="14" x14ac:dyDescent="0.4"/>
    <row r="19" spans="5:6" ht="14" x14ac:dyDescent="0.4">
      <c r="E19" s="274" t="s">
        <v>756</v>
      </c>
    </row>
    <row r="20" spans="5:6" ht="14" x14ac:dyDescent="0.4">
      <c r="E20" s="274" t="s">
        <v>757</v>
      </c>
    </row>
    <row r="21" spans="5:6" ht="14" x14ac:dyDescent="0.4"/>
    <row r="22" spans="5:6" ht="14" x14ac:dyDescent="0.4">
      <c r="E22" s="274" t="s">
        <v>758</v>
      </c>
    </row>
    <row r="23" spans="5:6" ht="14" x14ac:dyDescent="0.4">
      <c r="F23" s="317" t="s">
        <v>759</v>
      </c>
    </row>
    <row r="24" spans="5:6" ht="14" x14ac:dyDescent="0.4">
      <c r="F24" s="317" t="s">
        <v>760</v>
      </c>
    </row>
    <row r="25" spans="5:6" ht="14" x14ac:dyDescent="0.4">
      <c r="F25" s="317" t="s">
        <v>761</v>
      </c>
    </row>
    <row r="26" spans="5:6" ht="14" x14ac:dyDescent="0.4"/>
    <row r="27" spans="5:6" ht="14" x14ac:dyDescent="0.4">
      <c r="E27" s="274" t="s">
        <v>762</v>
      </c>
    </row>
    <row r="28" spans="5:6" ht="14" x14ac:dyDescent="0.4"/>
    <row r="29" spans="5:6" ht="14" x14ac:dyDescent="0.4">
      <c r="E29" s="274" t="s">
        <v>1</v>
      </c>
      <c r="F29" s="274" t="s">
        <v>763</v>
      </c>
    </row>
    <row r="30" spans="5:6" ht="14" x14ac:dyDescent="0.4">
      <c r="E30" s="274" t="s">
        <v>2</v>
      </c>
      <c r="F30" s="274" t="s">
        <v>764</v>
      </c>
    </row>
    <row r="31" spans="5:6" ht="14" x14ac:dyDescent="0.4">
      <c r="E31" s="274" t="s">
        <v>3</v>
      </c>
      <c r="F31" s="274" t="s">
        <v>765</v>
      </c>
    </row>
    <row r="32" spans="5:6" ht="14" x14ac:dyDescent="0.4"/>
    <row r="33" spans="6:6" ht="14" collapsed="1" x14ac:dyDescent="0.4">
      <c r="F33" s="274" t="s">
        <v>766</v>
      </c>
    </row>
    <row r="34" spans="6:6" ht="14" x14ac:dyDescent="0.4"/>
    <row r="35" spans="6:6" ht="14" x14ac:dyDescent="0.4">
      <c r="F35" s="274" t="s">
        <v>767</v>
      </c>
    </row>
    <row r="36" spans="6:6" ht="14" x14ac:dyDescent="0.4"/>
    <row r="37" spans="6:6" ht="14" x14ac:dyDescent="0.4">
      <c r="F37" s="274" t="s">
        <v>768</v>
      </c>
    </row>
    <row r="38" spans="6:6" ht="14" x14ac:dyDescent="0.4"/>
    <row r="39" spans="6:6" ht="14" x14ac:dyDescent="0.4">
      <c r="F39" s="274" t="s">
        <v>769</v>
      </c>
    </row>
    <row r="40" spans="6:6" ht="14" x14ac:dyDescent="0.4">
      <c r="F40" s="317" t="s">
        <v>770</v>
      </c>
    </row>
    <row r="41" spans="6:6" ht="14" x14ac:dyDescent="0.4">
      <c r="F41" s="317" t="s">
        <v>771</v>
      </c>
    </row>
    <row r="42" spans="6:6" ht="14" x14ac:dyDescent="0.4"/>
    <row r="43" spans="6:6" ht="14" x14ac:dyDescent="0.4"/>
    <row r="44" spans="6:6" ht="14" x14ac:dyDescent="0.4"/>
    <row r="45" spans="6:6" ht="14" x14ac:dyDescent="0.4"/>
    <row r="46" spans="6:6" ht="14" x14ac:dyDescent="0.4"/>
    <row r="47" spans="6:6" ht="14" x14ac:dyDescent="0.4"/>
    <row r="48" spans="6:6" ht="14" x14ac:dyDescent="0.4"/>
    <row r="49" spans="3:5" ht="14" x14ac:dyDescent="0.4">
      <c r="C49" s="275">
        <v>2</v>
      </c>
      <c r="D49" s="276" t="s">
        <v>772</v>
      </c>
    </row>
    <row r="50" spans="3:5" ht="14" x14ac:dyDescent="0.4"/>
    <row r="51" spans="3:5" ht="14" collapsed="1" x14ac:dyDescent="0.4">
      <c r="E51" s="274" t="s">
        <v>773</v>
      </c>
    </row>
    <row r="52" spans="3:5" ht="15" x14ac:dyDescent="0.4">
      <c r="E52" s="274" t="s">
        <v>774</v>
      </c>
    </row>
    <row r="53" spans="3:5" ht="14" x14ac:dyDescent="0.4"/>
    <row r="54" spans="3:5" ht="14" x14ac:dyDescent="0.4"/>
    <row r="55" spans="3:5" ht="14" x14ac:dyDescent="0.4"/>
    <row r="56" spans="3:5" ht="14" x14ac:dyDescent="0.4"/>
    <row r="57" spans="3:5" ht="14" x14ac:dyDescent="0.4"/>
    <row r="58" spans="3:5" ht="14" x14ac:dyDescent="0.4"/>
    <row r="59" spans="3:5" ht="14" x14ac:dyDescent="0.4"/>
    <row r="60" spans="3:5" ht="14" x14ac:dyDescent="0.4"/>
    <row r="61" spans="3:5" ht="14" x14ac:dyDescent="0.4"/>
    <row r="62" spans="3:5" ht="14" x14ac:dyDescent="0.4"/>
    <row r="63" spans="3:5" ht="14" x14ac:dyDescent="0.4"/>
    <row r="64" spans="3:5" ht="14" x14ac:dyDescent="0.4"/>
    <row r="65" spans="3:5" ht="14" x14ac:dyDescent="0.4"/>
    <row r="66" spans="3:5" ht="14" x14ac:dyDescent="0.4"/>
    <row r="67" spans="3:5" ht="14" x14ac:dyDescent="0.4"/>
    <row r="68" spans="3:5" ht="14" x14ac:dyDescent="0.4"/>
    <row r="69" spans="3:5" ht="14" x14ac:dyDescent="0.4"/>
    <row r="70" spans="3:5" ht="14" x14ac:dyDescent="0.4"/>
    <row r="71" spans="3:5" ht="14" x14ac:dyDescent="0.4"/>
    <row r="72" spans="3:5" ht="14" x14ac:dyDescent="0.4"/>
    <row r="73" spans="3:5" ht="14" x14ac:dyDescent="0.4"/>
    <row r="74" spans="3:5" ht="14" x14ac:dyDescent="0.4"/>
    <row r="75" spans="3:5" ht="14" x14ac:dyDescent="0.4"/>
    <row r="76" spans="3:5" ht="14" x14ac:dyDescent="0.4"/>
    <row r="77" spans="3:5" ht="14" x14ac:dyDescent="0.4"/>
    <row r="78" spans="3:5" ht="14" x14ac:dyDescent="0.4">
      <c r="C78" s="275">
        <v>3</v>
      </c>
      <c r="D78" s="276" t="s">
        <v>775</v>
      </c>
    </row>
    <row r="79" spans="3:5" ht="14" x14ac:dyDescent="0.4"/>
    <row r="80" spans="3:5" ht="14" x14ac:dyDescent="0.4">
      <c r="E80" s="274" t="s">
        <v>776</v>
      </c>
    </row>
    <row r="81" spans="3:18" ht="14" x14ac:dyDescent="0.4">
      <c r="E81" s="274" t="s">
        <v>777</v>
      </c>
    </row>
    <row r="82" spans="3:18" ht="14" x14ac:dyDescent="0.4"/>
    <row r="83" spans="3:18" ht="14" x14ac:dyDescent="0.4">
      <c r="C83" s="275">
        <v>4</v>
      </c>
      <c r="D83" s="276" t="s">
        <v>778</v>
      </c>
    </row>
    <row r="84" spans="3:18" ht="14" x14ac:dyDescent="0.4"/>
    <row r="85" spans="3:18" ht="14" x14ac:dyDescent="0.4">
      <c r="E85" s="274" t="s">
        <v>779</v>
      </c>
    </row>
    <row r="86" spans="3:18" ht="14" x14ac:dyDescent="0.4">
      <c r="F86" s="274" t="s">
        <v>780</v>
      </c>
    </row>
    <row r="87" spans="3:18" ht="14" x14ac:dyDescent="0.4">
      <c r="F87" s="274" t="s">
        <v>781</v>
      </c>
    </row>
    <row r="88" spans="3:18" ht="14" x14ac:dyDescent="0.4">
      <c r="F88" s="274" t="s">
        <v>782</v>
      </c>
    </row>
    <row r="89" spans="3:18" ht="14" x14ac:dyDescent="0.4"/>
    <row r="90" spans="3:18" ht="14" x14ac:dyDescent="0.4"/>
    <row r="91" spans="3:18" ht="14" x14ac:dyDescent="0.4">
      <c r="F91" s="318" t="s">
        <v>783</v>
      </c>
      <c r="N91" s="319" t="s">
        <v>784</v>
      </c>
      <c r="O91" s="319"/>
      <c r="P91" s="319"/>
      <c r="Q91" s="319" t="s">
        <v>785</v>
      </c>
      <c r="R91" s="319"/>
    </row>
    <row r="92" spans="3:18" ht="14" x14ac:dyDescent="0.4"/>
    <row r="93" spans="3:18" ht="14" x14ac:dyDescent="0.4">
      <c r="K93" s="320"/>
      <c r="P93" s="320"/>
    </row>
    <row r="94" spans="3:18" ht="14" x14ac:dyDescent="0.4">
      <c r="K94" s="320"/>
      <c r="P94" s="320"/>
    </row>
    <row r="95" spans="3:18" ht="14" x14ac:dyDescent="0.4">
      <c r="K95" s="320"/>
      <c r="P95" s="320"/>
    </row>
    <row r="96" spans="3:18" ht="14" x14ac:dyDescent="0.4">
      <c r="K96" s="320"/>
      <c r="P96" s="320"/>
    </row>
    <row r="97" spans="11:16" ht="14" x14ac:dyDescent="0.4">
      <c r="K97" s="320"/>
      <c r="P97" s="320"/>
    </row>
    <row r="98" spans="11:16" ht="14" x14ac:dyDescent="0.4">
      <c r="K98" s="320"/>
      <c r="P98" s="320"/>
    </row>
    <row r="99" spans="11:16" ht="14" x14ac:dyDescent="0.4">
      <c r="K99" s="320"/>
      <c r="P99" s="320"/>
    </row>
    <row r="100" spans="11:16" ht="14" x14ac:dyDescent="0.4">
      <c r="K100" s="320"/>
      <c r="P100" s="320"/>
    </row>
    <row r="101" spans="11:16" ht="14" x14ac:dyDescent="0.4">
      <c r="K101" s="320"/>
      <c r="P101" s="320"/>
    </row>
    <row r="102" spans="11:16" ht="14" x14ac:dyDescent="0.4">
      <c r="K102" s="320"/>
      <c r="P102" s="320"/>
    </row>
    <row r="103" spans="11:16" ht="14" x14ac:dyDescent="0.4">
      <c r="K103" s="320"/>
      <c r="P103" s="320"/>
    </row>
    <row r="104" spans="11:16" ht="14" x14ac:dyDescent="0.4">
      <c r="K104" s="320"/>
      <c r="P104" s="320"/>
    </row>
    <row r="105" spans="11:16" ht="14" x14ac:dyDescent="0.4">
      <c r="K105" s="320"/>
      <c r="P105" s="320"/>
    </row>
    <row r="106" spans="11:16" ht="14" x14ac:dyDescent="0.4">
      <c r="K106" s="320"/>
      <c r="P106" s="320"/>
    </row>
    <row r="107" spans="11:16" ht="14" x14ac:dyDescent="0.4">
      <c r="K107" s="320"/>
      <c r="P107" s="320"/>
    </row>
    <row r="108" spans="11:16" ht="14" x14ac:dyDescent="0.4">
      <c r="K108" s="320"/>
      <c r="P108" s="320"/>
    </row>
    <row r="109" spans="11:16" ht="14" x14ac:dyDescent="0.4">
      <c r="K109" s="320"/>
      <c r="P109" s="320"/>
    </row>
    <row r="110" spans="11:16" ht="14" x14ac:dyDescent="0.4">
      <c r="K110" s="320"/>
      <c r="P110" s="320"/>
    </row>
    <row r="111" spans="11:16" ht="14" x14ac:dyDescent="0.4">
      <c r="K111" s="320"/>
      <c r="P111" s="320"/>
    </row>
    <row r="112" spans="11:16" ht="14" x14ac:dyDescent="0.4">
      <c r="K112" s="320"/>
      <c r="P112" s="320"/>
    </row>
    <row r="113" spans="3:8" ht="14" x14ac:dyDescent="0.4"/>
    <row r="114" spans="3:8" ht="14" x14ac:dyDescent="0.4"/>
    <row r="115" spans="3:8" ht="14" x14ac:dyDescent="0.4"/>
    <row r="116" spans="3:8" ht="14" x14ac:dyDescent="0.4">
      <c r="E116" s="321" t="s">
        <v>786</v>
      </c>
    </row>
    <row r="117" spans="3:8" ht="14" x14ac:dyDescent="0.4"/>
    <row r="118" spans="3:8" ht="14" x14ac:dyDescent="0.4"/>
    <row r="119" spans="3:8" ht="14" x14ac:dyDescent="0.4">
      <c r="C119" s="275">
        <v>5</v>
      </c>
      <c r="D119" s="276" t="s">
        <v>787</v>
      </c>
    </row>
    <row r="120" spans="3:8" ht="14" x14ac:dyDescent="0.4"/>
    <row r="121" spans="3:8" ht="14" x14ac:dyDescent="0.4">
      <c r="E121" s="274" t="s">
        <v>788</v>
      </c>
    </row>
    <row r="122" spans="3:8" ht="14" x14ac:dyDescent="0.4">
      <c r="F122" s="274" t="s">
        <v>789</v>
      </c>
    </row>
    <row r="123" spans="3:8" ht="14" x14ac:dyDescent="0.4">
      <c r="F123" s="274" t="s">
        <v>790</v>
      </c>
    </row>
    <row r="124" spans="3:8" ht="14" x14ac:dyDescent="0.4">
      <c r="G124" s="321" t="s">
        <v>791</v>
      </c>
      <c r="H124" s="274" t="s">
        <v>792</v>
      </c>
    </row>
    <row r="125" spans="3:8" ht="14" x14ac:dyDescent="0.4">
      <c r="G125" s="321" t="s">
        <v>615</v>
      </c>
      <c r="H125" s="274" t="s">
        <v>793</v>
      </c>
    </row>
    <row r="126" spans="3:8" ht="14" x14ac:dyDescent="0.4">
      <c r="G126" s="321" t="s">
        <v>612</v>
      </c>
      <c r="H126" s="274" t="s">
        <v>794</v>
      </c>
    </row>
    <row r="127" spans="3:8" ht="14" x14ac:dyDescent="0.4">
      <c r="G127" s="321" t="s">
        <v>345</v>
      </c>
      <c r="H127" s="274" t="s">
        <v>795</v>
      </c>
    </row>
    <row r="128" spans="3:8" ht="14" x14ac:dyDescent="0.4">
      <c r="H128" s="274" t="s">
        <v>796</v>
      </c>
    </row>
    <row r="129" spans="3:8" ht="14" x14ac:dyDescent="0.4"/>
    <row r="130" spans="3:8" ht="14" x14ac:dyDescent="0.4"/>
    <row r="131" spans="3:8" ht="14" x14ac:dyDescent="0.4">
      <c r="C131" s="275">
        <v>6</v>
      </c>
      <c r="D131" s="276" t="s">
        <v>797</v>
      </c>
    </row>
    <row r="132" spans="3:8" ht="14" x14ac:dyDescent="0.4"/>
    <row r="133" spans="3:8" ht="14" x14ac:dyDescent="0.4">
      <c r="E133" s="274" t="s">
        <v>798</v>
      </c>
    </row>
    <row r="134" spans="3:8" ht="14" x14ac:dyDescent="0.4">
      <c r="E134" s="274" t="s">
        <v>799</v>
      </c>
    </row>
    <row r="135" spans="3:8" ht="14" x14ac:dyDescent="0.4">
      <c r="E135" s="274" t="s">
        <v>800</v>
      </c>
    </row>
    <row r="136" spans="3:8" ht="14" x14ac:dyDescent="0.4">
      <c r="E136" s="274" t="s">
        <v>801</v>
      </c>
    </row>
    <row r="137" spans="3:8" ht="14" x14ac:dyDescent="0.4">
      <c r="E137" s="274" t="s">
        <v>802</v>
      </c>
    </row>
    <row r="138" spans="3:8" ht="14" x14ac:dyDescent="0.4"/>
    <row r="139" spans="3:8" ht="14" x14ac:dyDescent="0.4"/>
    <row r="140" spans="3:8" ht="14" x14ac:dyDescent="0.4">
      <c r="C140" s="275">
        <v>7</v>
      </c>
      <c r="D140" s="276" t="s">
        <v>803</v>
      </c>
    </row>
    <row r="141" spans="3:8" ht="14" x14ac:dyDescent="0.4"/>
    <row r="142" spans="3:8" ht="14" x14ac:dyDescent="0.4">
      <c r="E142" s="274" t="s">
        <v>804</v>
      </c>
    </row>
    <row r="143" spans="3:8" ht="14" x14ac:dyDescent="0.4"/>
    <row r="144" spans="3:8" ht="14" x14ac:dyDescent="0.4">
      <c r="G144" s="276" t="s">
        <v>805</v>
      </c>
      <c r="H144" s="274" t="s">
        <v>806</v>
      </c>
    </row>
    <row r="145" spans="3:8" ht="14" x14ac:dyDescent="0.4">
      <c r="G145" s="276" t="s">
        <v>807</v>
      </c>
      <c r="H145" s="274" t="s">
        <v>808</v>
      </c>
    </row>
    <row r="146" spans="3:8" ht="14" x14ac:dyDescent="0.4"/>
    <row r="147" spans="3:8" ht="14" x14ac:dyDescent="0.4"/>
    <row r="148" spans="3:8" ht="14" x14ac:dyDescent="0.4"/>
    <row r="149" spans="3:8" ht="14" x14ac:dyDescent="0.4"/>
    <row r="150" spans="3:8" ht="14" x14ac:dyDescent="0.4"/>
    <row r="151" spans="3:8" ht="14" x14ac:dyDescent="0.4"/>
    <row r="152" spans="3:8" ht="14" x14ac:dyDescent="0.4"/>
    <row r="153" spans="3:8" ht="14" x14ac:dyDescent="0.4"/>
    <row r="154" spans="3:8" ht="14" x14ac:dyDescent="0.4"/>
    <row r="155" spans="3:8" ht="14" x14ac:dyDescent="0.4"/>
    <row r="156" spans="3:8" ht="14" x14ac:dyDescent="0.4"/>
    <row r="157" spans="3:8" ht="14" x14ac:dyDescent="0.4">
      <c r="C157" s="275">
        <v>8</v>
      </c>
      <c r="D157" s="276" t="s">
        <v>809</v>
      </c>
    </row>
    <row r="158" spans="3:8" ht="14" x14ac:dyDescent="0.4"/>
    <row r="159" spans="3:8" ht="14" x14ac:dyDescent="0.4">
      <c r="E159" s="274" t="s">
        <v>810</v>
      </c>
    </row>
    <row r="160" spans="3:8" ht="14" x14ac:dyDescent="0.4">
      <c r="E160" s="274" t="s">
        <v>811</v>
      </c>
    </row>
    <row r="161" spans="3:6" ht="14" x14ac:dyDescent="0.4">
      <c r="E161" s="274" t="s">
        <v>812</v>
      </c>
    </row>
    <row r="162" spans="3:6" ht="14" x14ac:dyDescent="0.4">
      <c r="E162" s="274" t="s">
        <v>813</v>
      </c>
    </row>
    <row r="163" spans="3:6" ht="14" x14ac:dyDescent="0.4"/>
    <row r="164" spans="3:6" ht="14" x14ac:dyDescent="0.4"/>
    <row r="165" spans="3:6" ht="14" x14ac:dyDescent="0.4">
      <c r="C165" s="275">
        <v>9</v>
      </c>
      <c r="D165" s="276" t="s">
        <v>814</v>
      </c>
    </row>
    <row r="166" spans="3:6" ht="14" x14ac:dyDescent="0.4"/>
    <row r="167" spans="3:6" ht="14" x14ac:dyDescent="0.4">
      <c r="E167" s="274" t="s">
        <v>815</v>
      </c>
    </row>
    <row r="168" spans="3:6" ht="14" x14ac:dyDescent="0.4">
      <c r="F168" s="274" t="s">
        <v>816</v>
      </c>
    </row>
    <row r="169" spans="3:6" ht="14" x14ac:dyDescent="0.4"/>
    <row r="170" spans="3:6" ht="14" x14ac:dyDescent="0.4"/>
    <row r="171" spans="3:6" ht="14" x14ac:dyDescent="0.4"/>
    <row r="172" spans="3:6" ht="14" x14ac:dyDescent="0.4"/>
    <row r="173" spans="3:6" ht="14" x14ac:dyDescent="0.4"/>
    <row r="174" spans="3:6" ht="14" x14ac:dyDescent="0.4"/>
    <row r="175" spans="3:6" ht="14" x14ac:dyDescent="0.4"/>
    <row r="176" spans="3:6" ht="14" x14ac:dyDescent="0.4"/>
    <row r="177" spans="3:6" ht="14" x14ac:dyDescent="0.4"/>
    <row r="178" spans="3:6" ht="14" x14ac:dyDescent="0.4">
      <c r="C178" s="275">
        <v>10</v>
      </c>
      <c r="D178" s="276" t="s">
        <v>817</v>
      </c>
    </row>
    <row r="179" spans="3:6" ht="14" x14ac:dyDescent="0.4"/>
    <row r="180" spans="3:6" ht="14" x14ac:dyDescent="0.4">
      <c r="E180" s="274" t="s">
        <v>818</v>
      </c>
    </row>
    <row r="181" spans="3:6" ht="14" x14ac:dyDescent="0.4"/>
    <row r="182" spans="3:6" ht="14" x14ac:dyDescent="0.4">
      <c r="E182" s="274" t="s">
        <v>819</v>
      </c>
    </row>
    <row r="183" spans="3:6" ht="14" x14ac:dyDescent="0.4">
      <c r="F183" s="274" t="s">
        <v>820</v>
      </c>
    </row>
    <row r="184" spans="3:6" ht="14" x14ac:dyDescent="0.4">
      <c r="F184" s="274" t="s">
        <v>821</v>
      </c>
    </row>
    <row r="185" spans="3:6" ht="14" x14ac:dyDescent="0.4"/>
    <row r="186" spans="3:6" ht="14" x14ac:dyDescent="0.4">
      <c r="E186" s="274" t="s">
        <v>822</v>
      </c>
    </row>
    <row r="187" spans="3:6" ht="14" x14ac:dyDescent="0.4">
      <c r="E187" s="274" t="s">
        <v>823</v>
      </c>
    </row>
    <row r="188" spans="3:6" ht="14" x14ac:dyDescent="0.4"/>
    <row r="189" spans="3:6" ht="14" x14ac:dyDescent="0.4"/>
    <row r="190" spans="3:6" ht="14" x14ac:dyDescent="0.4">
      <c r="C190" s="275">
        <v>11</v>
      </c>
      <c r="D190" s="276" t="s">
        <v>824</v>
      </c>
    </row>
    <row r="191" spans="3:6" ht="14" x14ac:dyDescent="0.4"/>
    <row r="192" spans="3:6" ht="14" x14ac:dyDescent="0.4">
      <c r="E192" s="274" t="s">
        <v>825</v>
      </c>
    </row>
    <row r="193" spans="3:6" ht="14" x14ac:dyDescent="0.4">
      <c r="E193" s="274" t="s">
        <v>826</v>
      </c>
    </row>
    <row r="194" spans="3:6" ht="14" x14ac:dyDescent="0.4">
      <c r="E194" s="274" t="s">
        <v>827</v>
      </c>
    </row>
    <row r="195" spans="3:6" ht="14" x14ac:dyDescent="0.4"/>
    <row r="196" spans="3:6" ht="14" x14ac:dyDescent="0.4"/>
    <row r="197" spans="3:6" ht="14" x14ac:dyDescent="0.4">
      <c r="C197" s="275">
        <v>12</v>
      </c>
      <c r="D197" s="276" t="s">
        <v>828</v>
      </c>
    </row>
    <row r="198" spans="3:6" ht="14" x14ac:dyDescent="0.4"/>
    <row r="199" spans="3:6" ht="14" x14ac:dyDescent="0.4">
      <c r="E199" s="274" t="s">
        <v>829</v>
      </c>
    </row>
    <row r="200" spans="3:6" ht="14" x14ac:dyDescent="0.4">
      <c r="F200" s="274" t="s">
        <v>830</v>
      </c>
    </row>
    <row r="201" spans="3:6" ht="14" x14ac:dyDescent="0.4">
      <c r="F201" s="274" t="s">
        <v>831</v>
      </c>
    </row>
    <row r="202" spans="3:6" ht="14" x14ac:dyDescent="0.4"/>
    <row r="203" spans="3:6" ht="14" x14ac:dyDescent="0.4"/>
    <row r="204" spans="3:6" ht="14" x14ac:dyDescent="0.4">
      <c r="C204" s="275">
        <v>13</v>
      </c>
      <c r="D204" s="276" t="s">
        <v>832</v>
      </c>
    </row>
    <row r="205" spans="3:6" ht="14" x14ac:dyDescent="0.4"/>
    <row r="206" spans="3:6" ht="14" x14ac:dyDescent="0.4">
      <c r="E206" s="274" t="s">
        <v>833</v>
      </c>
    </row>
    <row r="207" spans="3:6" ht="14" x14ac:dyDescent="0.4">
      <c r="E207" s="274" t="s">
        <v>834</v>
      </c>
    </row>
    <row r="208" spans="3:6" ht="14" x14ac:dyDescent="0.4"/>
    <row r="209" spans="3:6" ht="14" x14ac:dyDescent="0.4">
      <c r="E209" s="274" t="s">
        <v>835</v>
      </c>
    </row>
    <row r="210" spans="3:6" ht="14" x14ac:dyDescent="0.4"/>
    <row r="211" spans="3:6" ht="14" x14ac:dyDescent="0.4">
      <c r="E211" s="274" t="s">
        <v>836</v>
      </c>
    </row>
    <row r="212" spans="3:6" ht="14" x14ac:dyDescent="0.4">
      <c r="E212" s="274" t="s">
        <v>837</v>
      </c>
    </row>
    <row r="213" spans="3:6" ht="14" x14ac:dyDescent="0.4"/>
    <row r="214" spans="3:6" ht="14" x14ac:dyDescent="0.4"/>
    <row r="215" spans="3:6" ht="14" x14ac:dyDescent="0.4">
      <c r="C215" s="275">
        <v>14</v>
      </c>
      <c r="D215" s="276" t="s">
        <v>838</v>
      </c>
    </row>
    <row r="216" spans="3:6" ht="14" x14ac:dyDescent="0.4"/>
    <row r="217" spans="3:6" ht="15" x14ac:dyDescent="0.4">
      <c r="E217" s="274" t="s">
        <v>839</v>
      </c>
    </row>
    <row r="218" spans="3:6" ht="14" x14ac:dyDescent="0.4">
      <c r="E218" s="274" t="s">
        <v>840</v>
      </c>
    </row>
    <row r="219" spans="3:6" ht="14" x14ac:dyDescent="0.4"/>
    <row r="220" spans="3:6" ht="14" x14ac:dyDescent="0.4"/>
    <row r="221" spans="3:6" ht="14" x14ac:dyDescent="0.4">
      <c r="F221" s="274" t="s">
        <v>841</v>
      </c>
    </row>
    <row r="222" spans="3:6" ht="14" x14ac:dyDescent="0.4">
      <c r="F222" s="274" t="s">
        <v>842</v>
      </c>
    </row>
    <row r="223" spans="3:6" ht="14" x14ac:dyDescent="0.4">
      <c r="F223" s="274" t="s">
        <v>843</v>
      </c>
    </row>
    <row r="224" spans="3:6" ht="14" x14ac:dyDescent="0.4">
      <c r="F224" s="274" t="s">
        <v>844</v>
      </c>
    </row>
    <row r="225" spans="3:6" ht="14" x14ac:dyDescent="0.4"/>
    <row r="226" spans="3:6" ht="14" x14ac:dyDescent="0.4"/>
    <row r="227" spans="3:6" ht="15" x14ac:dyDescent="0.4">
      <c r="E227" s="274" t="s">
        <v>845</v>
      </c>
    </row>
    <row r="228" spans="3:6" ht="14" x14ac:dyDescent="0.4">
      <c r="E228" s="274" t="s">
        <v>846</v>
      </c>
    </row>
    <row r="229" spans="3:6" ht="14" x14ac:dyDescent="0.4"/>
    <row r="230" spans="3:6" ht="14" x14ac:dyDescent="0.4">
      <c r="E230" s="274" t="s">
        <v>847</v>
      </c>
    </row>
    <row r="231" spans="3:6" ht="14" x14ac:dyDescent="0.4">
      <c r="E231" s="274" t="s">
        <v>848</v>
      </c>
    </row>
    <row r="232" spans="3:6" ht="14" x14ac:dyDescent="0.4"/>
    <row r="233" spans="3:6" ht="14" x14ac:dyDescent="0.4">
      <c r="F233" s="274" t="s">
        <v>849</v>
      </c>
    </row>
    <row r="234" spans="3:6" ht="14" x14ac:dyDescent="0.4">
      <c r="F234" s="274" t="s">
        <v>850</v>
      </c>
    </row>
    <row r="235" spans="3:6" ht="14" x14ac:dyDescent="0.4"/>
    <row r="236" spans="3:6" ht="14" x14ac:dyDescent="0.4"/>
    <row r="237" spans="3:6" ht="14" x14ac:dyDescent="0.4">
      <c r="C237" s="275">
        <v>15</v>
      </c>
      <c r="D237" s="276" t="s">
        <v>851</v>
      </c>
    </row>
    <row r="238" spans="3:6" ht="14" x14ac:dyDescent="0.4"/>
    <row r="239" spans="3:6" ht="14" x14ac:dyDescent="0.4">
      <c r="E239" s="274" t="s">
        <v>852</v>
      </c>
    </row>
    <row r="240" spans="3:6" ht="14" x14ac:dyDescent="0.4">
      <c r="E240" s="274" t="s">
        <v>853</v>
      </c>
    </row>
    <row r="241" spans="3:5" ht="14" x14ac:dyDescent="0.4">
      <c r="E241" s="274" t="s">
        <v>854</v>
      </c>
    </row>
    <row r="242" spans="3:5" ht="14" x14ac:dyDescent="0.4">
      <c r="E242" s="274" t="s">
        <v>855</v>
      </c>
    </row>
    <row r="243" spans="3:5" ht="14" x14ac:dyDescent="0.4"/>
    <row r="244" spans="3:5" ht="14" x14ac:dyDescent="0.4"/>
    <row r="245" spans="3:5" ht="14" x14ac:dyDescent="0.4"/>
    <row r="246" spans="3:5" ht="14" x14ac:dyDescent="0.4">
      <c r="C246" s="275">
        <v>16</v>
      </c>
      <c r="D246" s="276" t="s">
        <v>856</v>
      </c>
    </row>
    <row r="247" spans="3:5" ht="14" x14ac:dyDescent="0.4"/>
    <row r="248" spans="3:5" ht="14" x14ac:dyDescent="0.4">
      <c r="E248" s="274" t="s">
        <v>857</v>
      </c>
    </row>
    <row r="249" spans="3:5" ht="14" x14ac:dyDescent="0.4"/>
    <row r="250" spans="3:5" ht="14" x14ac:dyDescent="0.4"/>
    <row r="251" spans="3:5" ht="14" x14ac:dyDescent="0.4">
      <c r="C251" s="275">
        <v>17</v>
      </c>
      <c r="D251" s="276" t="s">
        <v>858</v>
      </c>
    </row>
    <row r="252" spans="3:5" ht="14" x14ac:dyDescent="0.4"/>
    <row r="253" spans="3:5" ht="14" x14ac:dyDescent="0.4">
      <c r="E253" s="274" t="s">
        <v>859</v>
      </c>
    </row>
    <row r="254" spans="3:5" ht="14" x14ac:dyDescent="0.4">
      <c r="E254" s="274" t="s">
        <v>860</v>
      </c>
    </row>
    <row r="255" spans="3:5" ht="14" x14ac:dyDescent="0.4">
      <c r="E255" s="274" t="s">
        <v>861</v>
      </c>
    </row>
    <row r="256" spans="3:5" ht="14" x14ac:dyDescent="0.4">
      <c r="E256" s="274" t="s">
        <v>862</v>
      </c>
    </row>
    <row r="257" spans="3:5" ht="14" x14ac:dyDescent="0.4"/>
    <row r="258" spans="3:5" ht="14" x14ac:dyDescent="0.4"/>
    <row r="259" spans="3:5" ht="14" x14ac:dyDescent="0.4"/>
    <row r="260" spans="3:5" ht="14" x14ac:dyDescent="0.4">
      <c r="C260" s="275">
        <v>18</v>
      </c>
      <c r="D260" s="276" t="s">
        <v>863</v>
      </c>
    </row>
    <row r="261" spans="3:5" ht="14" x14ac:dyDescent="0.4"/>
    <row r="262" spans="3:5" ht="14" x14ac:dyDescent="0.4">
      <c r="E262" s="274" t="s">
        <v>864</v>
      </c>
    </row>
    <row r="263" spans="3:5" ht="14" x14ac:dyDescent="0.4">
      <c r="E263" s="274" t="s">
        <v>865</v>
      </c>
    </row>
    <row r="264" spans="3:5" ht="14" x14ac:dyDescent="0.4">
      <c r="E264" s="274" t="s">
        <v>866</v>
      </c>
    </row>
    <row r="265" spans="3:5" ht="14" x14ac:dyDescent="0.4">
      <c r="E265" s="274" t="s">
        <v>867</v>
      </c>
    </row>
    <row r="266" spans="3:5" ht="14" x14ac:dyDescent="0.4">
      <c r="E266" s="274" t="s">
        <v>868</v>
      </c>
    </row>
    <row r="267" spans="3:5" ht="14" x14ac:dyDescent="0.4"/>
    <row r="268" spans="3:5" ht="14" x14ac:dyDescent="0.4"/>
    <row r="269" spans="3:5" ht="14" x14ac:dyDescent="0.4">
      <c r="C269" s="275">
        <v>19</v>
      </c>
      <c r="D269" s="276" t="s">
        <v>869</v>
      </c>
    </row>
    <row r="270" spans="3:5" ht="14" x14ac:dyDescent="0.4"/>
    <row r="271" spans="3:5" ht="14" x14ac:dyDescent="0.4">
      <c r="E271" s="274" t="s">
        <v>870</v>
      </c>
    </row>
    <row r="272" spans="3:5" ht="14" x14ac:dyDescent="0.4">
      <c r="E272" s="274" t="s">
        <v>871</v>
      </c>
    </row>
    <row r="273" spans="5:5" ht="14" x14ac:dyDescent="0.4"/>
    <row r="274" spans="5:5" ht="14" x14ac:dyDescent="0.4">
      <c r="E274" s="274" t="s">
        <v>872</v>
      </c>
    </row>
    <row r="275" spans="5:5" ht="14" x14ac:dyDescent="0.4"/>
    <row r="276" spans="5:5" ht="14" x14ac:dyDescent="0.4"/>
    <row r="277" spans="5:5" ht="14" x14ac:dyDescent="0.4"/>
    <row r="278" spans="5:5" ht="14" x14ac:dyDescent="0.4"/>
    <row r="279" spans="5:5" ht="14" x14ac:dyDescent="0.4"/>
    <row r="280" spans="5:5" ht="14" x14ac:dyDescent="0.4"/>
    <row r="281" spans="5:5" ht="14" x14ac:dyDescent="0.4"/>
    <row r="282" spans="5:5" ht="14" x14ac:dyDescent="0.4"/>
    <row r="283" spans="5:5" ht="14" x14ac:dyDescent="0.4"/>
    <row r="284" spans="5:5" ht="14" x14ac:dyDescent="0.4"/>
    <row r="285" spans="5:5" ht="14" x14ac:dyDescent="0.4"/>
    <row r="286" spans="5:5" ht="14" x14ac:dyDescent="0.4"/>
    <row r="287" spans="5:5" ht="14" x14ac:dyDescent="0.4"/>
  </sheetData>
  <pageMargins left="0.7" right="0.7" top="0.75" bottom="0.75" header="0.3" footer="0.3"/>
  <pageSetup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F9A60-AD96-4107-BEF5-6ABE7C1C4EC9}">
  <sheetPr codeName="Sheet33"/>
  <dimension ref="A1:Z33"/>
  <sheetViews>
    <sheetView showGridLines="0" zoomScaleNormal="100" workbookViewId="0"/>
  </sheetViews>
  <sheetFormatPr defaultColWidth="8.7265625" defaultRowHeight="14" x14ac:dyDescent="0.4"/>
  <cols>
    <col min="1" max="1" width="2.453125" style="20" customWidth="1"/>
    <col min="2" max="2" width="3.7265625" style="20" customWidth="1"/>
    <col min="3" max="4" width="11.7265625" style="20" customWidth="1"/>
    <col min="5" max="6" width="3.7265625" style="20" customWidth="1"/>
    <col min="7" max="8" width="11.7265625" style="20" customWidth="1"/>
    <col min="9" max="10" width="3.7265625" style="20" customWidth="1"/>
    <col min="11" max="12" width="11.7265625" style="20" customWidth="1"/>
    <col min="13" max="14" width="3.7265625" style="20" customWidth="1"/>
    <col min="15" max="16" width="11.7265625" style="20" customWidth="1"/>
    <col min="17" max="18" width="3.7265625" style="20" customWidth="1"/>
    <col min="19" max="20" width="11.7265625" style="20" customWidth="1"/>
    <col min="21" max="22" width="3.7265625" style="20" customWidth="1"/>
    <col min="23" max="24" width="11.7265625" style="20" customWidth="1"/>
    <col min="25" max="26" width="3.7265625" style="20" customWidth="1"/>
    <col min="27" max="16384" width="8.7265625" style="123"/>
  </cols>
  <sheetData>
    <row r="1" spans="1:26" x14ac:dyDescent="0.4">
      <c r="A1" s="6"/>
      <c r="B1" s="6"/>
      <c r="C1" s="6"/>
      <c r="D1" s="19"/>
      <c r="E1" s="6"/>
      <c r="F1" s="6"/>
      <c r="G1" s="6"/>
      <c r="H1" s="19"/>
      <c r="I1" s="6"/>
      <c r="J1" s="6"/>
      <c r="K1" s="6"/>
      <c r="L1" s="19"/>
      <c r="M1" s="6"/>
      <c r="N1" s="6"/>
      <c r="O1" s="6"/>
      <c r="P1" s="19"/>
      <c r="Q1" s="6"/>
      <c r="R1" s="6"/>
      <c r="S1" s="6"/>
      <c r="T1" s="19"/>
      <c r="U1" s="6"/>
      <c r="V1" s="6"/>
      <c r="W1" s="6"/>
      <c r="X1" s="19"/>
      <c r="Y1" s="6"/>
      <c r="Z1" s="6"/>
    </row>
    <row r="2" spans="1:26" ht="26" x14ac:dyDescent="0.65">
      <c r="A2" s="6"/>
      <c r="B2" s="7" t="str">
        <f>Cover!$C$8</f>
        <v>Microsoft Excel Training</v>
      </c>
      <c r="C2" s="6"/>
      <c r="D2" s="19"/>
      <c r="E2" s="6"/>
      <c r="F2" s="7"/>
      <c r="G2" s="6"/>
      <c r="H2" s="19"/>
      <c r="I2" s="6"/>
      <c r="J2" s="7"/>
      <c r="K2" s="6"/>
      <c r="L2" s="19"/>
      <c r="M2" s="6"/>
      <c r="N2" s="7"/>
      <c r="O2" s="6"/>
      <c r="P2" s="19"/>
      <c r="Q2" s="6"/>
      <c r="R2" s="7"/>
      <c r="S2" s="6"/>
      <c r="T2" s="19"/>
      <c r="U2" s="6"/>
      <c r="V2" s="7"/>
      <c r="W2" s="6"/>
      <c r="X2" s="19"/>
      <c r="Y2" s="6"/>
      <c r="Z2" s="6"/>
    </row>
    <row r="3" spans="1:26" x14ac:dyDescent="0.4">
      <c r="A3" s="6"/>
      <c r="B3" s="6"/>
      <c r="C3" s="6"/>
      <c r="D3" s="19"/>
      <c r="E3" s="6"/>
      <c r="F3" s="6"/>
      <c r="G3" s="6"/>
      <c r="H3" s="19"/>
      <c r="I3" s="6"/>
      <c r="J3" s="6"/>
      <c r="K3" s="6"/>
      <c r="L3" s="19"/>
      <c r="M3" s="6"/>
      <c r="N3" s="6"/>
      <c r="O3" s="6"/>
      <c r="P3" s="19"/>
      <c r="Q3" s="6"/>
      <c r="R3" s="6"/>
      <c r="S3" s="6"/>
      <c r="T3" s="19"/>
      <c r="U3" s="6"/>
      <c r="V3" s="6"/>
      <c r="W3" s="6"/>
      <c r="X3" s="19"/>
      <c r="Y3" s="6"/>
      <c r="Z3" s="6"/>
    </row>
    <row r="4" spans="1:26" x14ac:dyDescent="0.4">
      <c r="A4" s="8"/>
      <c r="B4" s="8"/>
      <c r="C4" s="8"/>
      <c r="D4" s="8"/>
      <c r="E4" s="8"/>
      <c r="F4" s="8"/>
      <c r="G4" s="8"/>
      <c r="H4" s="8"/>
      <c r="I4" s="8"/>
      <c r="J4" s="8"/>
      <c r="K4" s="8"/>
      <c r="L4" s="8"/>
      <c r="M4" s="8"/>
      <c r="N4" s="8"/>
      <c r="O4" s="8"/>
      <c r="P4" s="8"/>
      <c r="Q4" s="8"/>
      <c r="R4" s="8"/>
      <c r="S4" s="8"/>
      <c r="T4" s="8"/>
      <c r="U4" s="8"/>
      <c r="V4" s="8"/>
      <c r="W4" s="8"/>
      <c r="X4" s="8"/>
      <c r="Y4" s="8"/>
      <c r="Z4" s="8"/>
    </row>
    <row r="5" spans="1:26" ht="16.5" x14ac:dyDescent="0.45">
      <c r="A5" s="8"/>
      <c r="B5" s="9" t="s">
        <v>704</v>
      </c>
      <c r="C5" s="10"/>
      <c r="D5" s="10"/>
      <c r="E5" s="10"/>
      <c r="F5" s="9"/>
      <c r="G5" s="10"/>
      <c r="H5" s="10"/>
      <c r="I5" s="10"/>
      <c r="J5" s="9"/>
      <c r="K5" s="10"/>
      <c r="L5" s="10"/>
      <c r="M5" s="10"/>
      <c r="N5" s="9"/>
      <c r="O5" s="10"/>
      <c r="P5" s="10"/>
      <c r="Q5" s="10"/>
      <c r="R5" s="9"/>
      <c r="S5" s="10"/>
      <c r="T5" s="10"/>
      <c r="U5" s="10"/>
      <c r="V5" s="9"/>
      <c r="W5" s="10"/>
      <c r="X5" s="10"/>
      <c r="Y5" s="10"/>
      <c r="Z5" s="10"/>
    </row>
    <row r="6" spans="1:26" ht="3.75" customHeight="1" x14ac:dyDescent="0.4">
      <c r="A6" s="8"/>
      <c r="B6" s="8"/>
      <c r="C6" s="8"/>
      <c r="D6" s="8"/>
      <c r="E6" s="8"/>
      <c r="F6" s="8"/>
      <c r="G6" s="8"/>
      <c r="H6" s="8"/>
      <c r="I6" s="8"/>
      <c r="J6" s="8"/>
      <c r="K6" s="8"/>
      <c r="L6" s="8"/>
      <c r="M6" s="8"/>
      <c r="N6" s="8"/>
      <c r="O6" s="8"/>
      <c r="P6" s="8"/>
      <c r="Q6" s="8"/>
      <c r="R6" s="8"/>
      <c r="S6" s="8"/>
      <c r="T6" s="8"/>
      <c r="U6" s="8"/>
      <c r="V6" s="8"/>
      <c r="W6" s="8"/>
      <c r="X6" s="8"/>
      <c r="Y6" s="8"/>
      <c r="Z6" s="8"/>
    </row>
    <row r="7" spans="1:26" x14ac:dyDescent="0.4">
      <c r="A7" s="8"/>
      <c r="B7" s="8"/>
      <c r="C7" s="8"/>
      <c r="D7" s="8"/>
      <c r="E7" s="8"/>
      <c r="F7" s="8"/>
      <c r="G7" s="8"/>
      <c r="H7" s="8"/>
      <c r="I7" s="8"/>
      <c r="J7" s="8"/>
      <c r="K7" s="8"/>
      <c r="L7" s="8"/>
      <c r="M7" s="8"/>
      <c r="N7" s="8"/>
      <c r="O7" s="8"/>
      <c r="P7" s="8"/>
      <c r="Q7" s="8"/>
      <c r="R7" s="8"/>
      <c r="S7" s="8"/>
      <c r="T7" s="8"/>
      <c r="U7" s="8"/>
      <c r="V7" s="8"/>
      <c r="W7" s="8"/>
      <c r="X7" s="8"/>
      <c r="Y7" s="8"/>
      <c r="Z7" s="8"/>
    </row>
    <row r="8" spans="1:26" ht="16" x14ac:dyDescent="0.45">
      <c r="A8" s="8"/>
      <c r="B8" s="114" t="s">
        <v>2586</v>
      </c>
      <c r="C8" s="114"/>
      <c r="D8" s="114"/>
      <c r="E8" s="114"/>
      <c r="F8" s="114"/>
      <c r="G8" s="114"/>
      <c r="H8" s="114"/>
      <c r="I8" s="114"/>
      <c r="J8" s="114" t="s">
        <v>709</v>
      </c>
      <c r="K8" s="114"/>
      <c r="L8" s="114"/>
      <c r="M8" s="114"/>
      <c r="N8" s="114"/>
      <c r="O8" s="114"/>
      <c r="P8" s="114"/>
      <c r="Q8" s="114"/>
      <c r="R8" s="114" t="s">
        <v>2587</v>
      </c>
      <c r="S8" s="114"/>
      <c r="T8" s="114"/>
      <c r="U8" s="114"/>
      <c r="V8" s="114"/>
      <c r="W8" s="114"/>
      <c r="X8" s="114"/>
      <c r="Y8" s="114"/>
      <c r="Z8" s="114"/>
    </row>
    <row r="9" spans="1:26" ht="16" x14ac:dyDescent="0.45">
      <c r="A9" s="8"/>
      <c r="B9" s="8"/>
      <c r="C9" s="114"/>
      <c r="D9" s="114"/>
      <c r="E9" s="114"/>
      <c r="F9" s="8"/>
      <c r="G9" s="114"/>
      <c r="H9" s="114"/>
      <c r="I9" s="114"/>
      <c r="J9" s="8"/>
      <c r="K9" s="114"/>
      <c r="L9" s="114"/>
      <c r="M9" s="114"/>
      <c r="N9" s="8"/>
      <c r="O9" s="114"/>
      <c r="P9" s="114"/>
      <c r="Q9" s="114"/>
      <c r="R9" s="8"/>
      <c r="S9" s="114"/>
      <c r="T9" s="114"/>
      <c r="U9" s="114"/>
      <c r="V9" s="8"/>
      <c r="W9" s="114"/>
      <c r="X9" s="114"/>
      <c r="Y9" s="114"/>
      <c r="Z9" s="114"/>
    </row>
    <row r="10" spans="1:26" ht="16" x14ac:dyDescent="0.45">
      <c r="A10" s="8"/>
      <c r="B10" s="8"/>
      <c r="C10" s="114"/>
      <c r="D10" s="114"/>
      <c r="E10" s="114"/>
      <c r="F10" s="8"/>
      <c r="G10" s="114"/>
      <c r="H10" s="114"/>
      <c r="I10" s="114"/>
      <c r="J10" s="8"/>
      <c r="K10" s="114"/>
      <c r="L10" s="114"/>
      <c r="M10" s="114"/>
      <c r="N10" s="8"/>
      <c r="O10" s="114"/>
      <c r="P10" s="114"/>
      <c r="Q10" s="114"/>
      <c r="R10" s="8"/>
      <c r="S10" s="114"/>
      <c r="T10" s="114"/>
      <c r="U10" s="114"/>
      <c r="V10" s="8"/>
      <c r="W10" s="114"/>
      <c r="X10" s="114"/>
      <c r="Y10" s="114"/>
      <c r="Z10" s="114"/>
    </row>
    <row r="11" spans="1:26" ht="16" x14ac:dyDescent="0.45">
      <c r="A11" s="8"/>
      <c r="B11" s="8"/>
      <c r="C11" s="114"/>
      <c r="D11" s="114"/>
      <c r="E11" s="114"/>
      <c r="F11" s="8"/>
      <c r="G11" s="114"/>
      <c r="H11" s="114"/>
      <c r="I11" s="114"/>
      <c r="J11" s="8"/>
      <c r="K11" s="114"/>
      <c r="L11" s="114"/>
      <c r="M11" s="114"/>
      <c r="N11" s="8"/>
      <c r="O11" s="114"/>
      <c r="P11" s="114"/>
      <c r="Q11" s="114"/>
      <c r="R11" s="8"/>
      <c r="S11" s="114"/>
      <c r="T11" s="114"/>
      <c r="U11" s="114"/>
      <c r="V11" s="8"/>
      <c r="W11" s="114"/>
      <c r="X11" s="114"/>
      <c r="Y11" s="114"/>
      <c r="Z11" s="114"/>
    </row>
    <row r="12" spans="1:26" ht="16" x14ac:dyDescent="0.45">
      <c r="A12" s="8"/>
      <c r="B12" s="8"/>
      <c r="C12" s="114"/>
      <c r="D12" s="114"/>
      <c r="E12" s="114"/>
      <c r="F12" s="8"/>
      <c r="G12" s="114"/>
      <c r="H12" s="114"/>
      <c r="I12" s="114"/>
      <c r="J12" s="8"/>
      <c r="K12" s="114"/>
      <c r="L12" s="114"/>
      <c r="M12" s="114"/>
      <c r="N12" s="8"/>
      <c r="O12" s="114"/>
      <c r="P12" s="114"/>
      <c r="Q12" s="114"/>
      <c r="R12" s="8"/>
      <c r="S12" s="114"/>
      <c r="T12" s="114"/>
      <c r="U12" s="114"/>
      <c r="V12" s="8"/>
      <c r="W12" s="114"/>
      <c r="X12" s="114"/>
      <c r="Y12" s="114"/>
      <c r="Z12" s="114"/>
    </row>
    <row r="13" spans="1:26" ht="16" x14ac:dyDescent="0.45">
      <c r="A13" s="8"/>
      <c r="B13" s="8"/>
      <c r="C13" s="114"/>
      <c r="D13" s="114"/>
      <c r="E13" s="114"/>
      <c r="F13" s="8"/>
      <c r="G13" s="114"/>
      <c r="H13" s="114"/>
      <c r="I13" s="114"/>
      <c r="J13" s="8"/>
      <c r="K13" s="114"/>
      <c r="L13" s="114"/>
      <c r="M13" s="114"/>
      <c r="N13" s="8"/>
      <c r="O13" s="114"/>
      <c r="P13" s="114"/>
      <c r="Q13" s="114"/>
      <c r="R13" s="8"/>
      <c r="S13" s="114"/>
      <c r="T13" s="114"/>
      <c r="U13" s="114"/>
      <c r="V13" s="8"/>
      <c r="W13" s="114"/>
      <c r="X13" s="114"/>
      <c r="Y13" s="114"/>
      <c r="Z13" s="114"/>
    </row>
    <row r="14" spans="1:26" ht="16" x14ac:dyDescent="0.45">
      <c r="A14" s="8"/>
      <c r="B14" s="8"/>
      <c r="C14" s="114"/>
      <c r="D14" s="114"/>
      <c r="E14" s="114"/>
      <c r="F14" s="8"/>
      <c r="G14" s="114"/>
      <c r="H14" s="114"/>
      <c r="I14" s="114"/>
      <c r="J14" s="8"/>
      <c r="K14" s="114"/>
      <c r="L14" s="114"/>
      <c r="M14" s="114"/>
      <c r="N14" s="8"/>
      <c r="O14" s="114"/>
      <c r="P14" s="114"/>
      <c r="Q14" s="114"/>
      <c r="R14" s="8"/>
      <c r="S14" s="114"/>
      <c r="T14" s="114"/>
      <c r="U14" s="114"/>
      <c r="V14" s="8"/>
      <c r="W14" s="114"/>
      <c r="X14" s="114"/>
      <c r="Y14" s="114"/>
      <c r="Z14" s="114"/>
    </row>
    <row r="15" spans="1:26" ht="16" x14ac:dyDescent="0.45">
      <c r="A15" s="8"/>
      <c r="B15" s="8"/>
      <c r="C15" s="114"/>
      <c r="D15" s="114"/>
      <c r="E15" s="114"/>
      <c r="F15" s="8"/>
      <c r="G15" s="114"/>
      <c r="H15" s="114"/>
      <c r="I15" s="114"/>
      <c r="J15" s="8"/>
      <c r="K15" s="114"/>
      <c r="L15" s="114"/>
      <c r="M15" s="114"/>
      <c r="N15" s="8"/>
      <c r="O15" s="114"/>
      <c r="P15" s="114"/>
      <c r="Q15" s="114"/>
      <c r="R15" s="8"/>
      <c r="S15" s="114"/>
      <c r="T15" s="114"/>
      <c r="U15" s="114"/>
      <c r="V15" s="8"/>
      <c r="W15" s="114"/>
      <c r="X15" s="114"/>
      <c r="Y15" s="114"/>
      <c r="Z15" s="114"/>
    </row>
    <row r="16" spans="1:26" ht="16" x14ac:dyDescent="0.45">
      <c r="A16" s="8"/>
      <c r="B16" s="8"/>
      <c r="C16" s="114"/>
      <c r="D16" s="114"/>
      <c r="E16" s="114"/>
      <c r="F16" s="8"/>
      <c r="G16" s="114"/>
      <c r="H16" s="114"/>
      <c r="I16" s="114"/>
      <c r="J16" s="8"/>
      <c r="K16" s="114"/>
      <c r="L16" s="114"/>
      <c r="M16" s="114"/>
      <c r="N16" s="8"/>
      <c r="O16" s="114"/>
      <c r="P16" s="114"/>
      <c r="Q16" s="114"/>
      <c r="R16" s="8"/>
      <c r="S16" s="114"/>
      <c r="T16" s="114"/>
      <c r="U16" s="114"/>
      <c r="V16" s="8"/>
      <c r="W16" s="114"/>
      <c r="X16" s="114"/>
      <c r="Y16" s="114"/>
      <c r="Z16" s="114"/>
    </row>
    <row r="17" spans="1:26" ht="16" x14ac:dyDescent="0.45">
      <c r="A17" s="8"/>
      <c r="B17" s="8"/>
      <c r="C17" s="114"/>
      <c r="D17" s="114"/>
      <c r="E17" s="114"/>
      <c r="F17" s="8"/>
      <c r="G17" s="114"/>
      <c r="H17" s="114"/>
      <c r="I17" s="114"/>
      <c r="J17" s="8"/>
      <c r="K17" s="114"/>
      <c r="L17" s="114"/>
      <c r="M17" s="114"/>
      <c r="N17" s="8"/>
      <c r="O17" s="114"/>
      <c r="P17" s="114"/>
      <c r="Q17" s="114"/>
      <c r="R17" s="8"/>
      <c r="S17" s="114"/>
      <c r="T17" s="114"/>
      <c r="U17" s="114"/>
      <c r="V17" s="8"/>
      <c r="W17" s="114"/>
      <c r="X17" s="114"/>
      <c r="Y17" s="114"/>
      <c r="Z17" s="114"/>
    </row>
    <row r="18" spans="1:26" ht="16" x14ac:dyDescent="0.45">
      <c r="A18" s="8"/>
      <c r="B18" s="114"/>
      <c r="C18" s="114"/>
      <c r="D18" s="114"/>
      <c r="E18" s="114"/>
      <c r="F18" s="114" t="s">
        <v>2588</v>
      </c>
      <c r="G18" s="114"/>
      <c r="H18" s="114"/>
      <c r="I18" s="114"/>
      <c r="J18" s="114"/>
      <c r="K18" s="114"/>
      <c r="L18" s="114"/>
      <c r="M18" s="114"/>
      <c r="N18" s="114" t="s">
        <v>2645</v>
      </c>
      <c r="O18" s="114"/>
      <c r="P18" s="114"/>
      <c r="Q18" s="114"/>
      <c r="R18" s="114"/>
      <c r="S18" s="114"/>
      <c r="T18" s="114"/>
      <c r="U18" s="114"/>
      <c r="V18" s="114"/>
      <c r="W18" s="114"/>
      <c r="X18" s="114"/>
      <c r="Y18" s="114"/>
      <c r="Z18" s="114"/>
    </row>
    <row r="19" spans="1:26" ht="16" x14ac:dyDescent="0.45">
      <c r="A19" s="8"/>
      <c r="B19" s="8"/>
      <c r="C19" s="114"/>
      <c r="D19" s="114"/>
      <c r="E19" s="114"/>
      <c r="F19" s="8"/>
      <c r="G19" s="114"/>
      <c r="H19" s="114"/>
      <c r="I19" s="114"/>
      <c r="J19" s="8"/>
      <c r="K19" s="114"/>
      <c r="L19" s="114"/>
      <c r="M19" s="114"/>
      <c r="N19" s="8"/>
      <c r="O19" s="114"/>
      <c r="P19" s="114"/>
      <c r="Q19" s="114"/>
      <c r="R19" s="8"/>
      <c r="S19" s="114"/>
      <c r="T19" s="114"/>
      <c r="U19" s="114"/>
      <c r="V19" s="8"/>
      <c r="W19" s="114"/>
      <c r="X19" s="114"/>
      <c r="Y19" s="114"/>
      <c r="Z19" s="114"/>
    </row>
    <row r="20" spans="1:26" ht="16" x14ac:dyDescent="0.45">
      <c r="A20" s="8"/>
      <c r="B20" s="8"/>
      <c r="C20" s="114"/>
      <c r="D20" s="114"/>
      <c r="E20" s="114"/>
      <c r="F20" s="8"/>
      <c r="G20" s="114"/>
      <c r="H20" s="114"/>
      <c r="I20" s="114"/>
      <c r="J20" s="8"/>
      <c r="K20" s="114"/>
      <c r="L20" s="114"/>
      <c r="M20" s="114"/>
      <c r="N20" s="8"/>
      <c r="O20" s="114"/>
      <c r="P20" s="114"/>
      <c r="Q20" s="114"/>
      <c r="R20" s="8"/>
      <c r="S20" s="114"/>
      <c r="T20" s="114"/>
      <c r="U20" s="114"/>
      <c r="V20" s="8"/>
      <c r="W20" s="114"/>
      <c r="X20" s="114"/>
      <c r="Y20" s="114"/>
      <c r="Z20" s="114"/>
    </row>
    <row r="21" spans="1:26" ht="16" x14ac:dyDescent="0.45">
      <c r="A21" s="8"/>
      <c r="B21" s="8"/>
      <c r="C21" s="114"/>
      <c r="D21" s="114"/>
      <c r="E21" s="114"/>
      <c r="F21" s="8"/>
      <c r="G21" s="114"/>
      <c r="H21" s="114"/>
      <c r="I21" s="114"/>
      <c r="J21" s="8"/>
      <c r="K21" s="114"/>
      <c r="L21" s="114"/>
      <c r="M21" s="114"/>
      <c r="N21" s="8"/>
      <c r="O21" s="114"/>
      <c r="P21" s="114"/>
      <c r="Q21" s="114"/>
      <c r="R21" s="8"/>
      <c r="S21" s="114"/>
      <c r="T21" s="114"/>
      <c r="U21" s="114"/>
      <c r="V21" s="8"/>
      <c r="W21" s="114"/>
      <c r="X21" s="114"/>
      <c r="Y21" s="114"/>
      <c r="Z21" s="114"/>
    </row>
    <row r="22" spans="1:26" ht="16" x14ac:dyDescent="0.45">
      <c r="A22" s="8"/>
      <c r="B22" s="8"/>
      <c r="C22" s="114"/>
      <c r="D22" s="114"/>
      <c r="E22" s="114"/>
      <c r="F22" s="8"/>
      <c r="G22" s="114"/>
      <c r="H22" s="114"/>
      <c r="I22" s="114"/>
      <c r="J22" s="8"/>
      <c r="K22" s="114"/>
      <c r="L22" s="114"/>
      <c r="M22" s="114"/>
      <c r="N22" s="8"/>
      <c r="O22" s="114"/>
      <c r="P22" s="114"/>
      <c r="Q22" s="114"/>
      <c r="R22" s="8"/>
      <c r="S22" s="114"/>
      <c r="T22" s="114"/>
      <c r="U22" s="114"/>
      <c r="V22" s="8"/>
      <c r="W22" s="114"/>
      <c r="X22" s="114"/>
      <c r="Y22" s="114"/>
      <c r="Z22" s="114"/>
    </row>
    <row r="23" spans="1:26" ht="16" x14ac:dyDescent="0.45">
      <c r="A23" s="8"/>
      <c r="B23" s="8"/>
      <c r="C23" s="114"/>
      <c r="D23" s="114"/>
      <c r="E23" s="114"/>
      <c r="F23" s="8"/>
      <c r="G23" s="114"/>
      <c r="H23" s="114"/>
      <c r="I23" s="114"/>
      <c r="J23" s="8"/>
      <c r="K23" s="114"/>
      <c r="L23" s="114"/>
      <c r="M23" s="114"/>
      <c r="N23" s="8"/>
      <c r="O23" s="114"/>
      <c r="P23" s="114"/>
      <c r="Q23" s="114"/>
      <c r="R23" s="8"/>
      <c r="S23" s="114"/>
      <c r="T23" s="114"/>
      <c r="U23" s="114"/>
      <c r="V23" s="8"/>
      <c r="W23" s="114"/>
      <c r="X23" s="114"/>
      <c r="Y23" s="114"/>
      <c r="Z23" s="114"/>
    </row>
    <row r="24" spans="1:26" ht="16" x14ac:dyDescent="0.45">
      <c r="A24" s="8"/>
      <c r="B24" s="8"/>
      <c r="C24" s="114"/>
      <c r="D24" s="114"/>
      <c r="E24" s="114"/>
      <c r="F24" s="8"/>
      <c r="G24" s="114"/>
      <c r="H24" s="114"/>
      <c r="I24" s="114"/>
      <c r="J24" s="8"/>
      <c r="K24" s="114"/>
      <c r="L24" s="114"/>
      <c r="M24" s="114"/>
      <c r="N24" s="8"/>
      <c r="O24" s="114"/>
      <c r="P24" s="114"/>
      <c r="Q24" s="114"/>
      <c r="R24" s="8"/>
      <c r="S24" s="114"/>
      <c r="T24" s="114"/>
      <c r="U24" s="114"/>
      <c r="V24" s="8"/>
      <c r="W24" s="114"/>
      <c r="X24" s="114"/>
      <c r="Y24" s="114"/>
      <c r="Z24" s="114"/>
    </row>
    <row r="25" spans="1:26" ht="16" x14ac:dyDescent="0.45">
      <c r="A25" s="8"/>
      <c r="B25" s="8"/>
      <c r="C25" s="114"/>
      <c r="D25" s="114"/>
      <c r="E25" s="114"/>
      <c r="F25" s="8"/>
      <c r="G25" s="114"/>
      <c r="H25" s="114"/>
      <c r="I25" s="114"/>
      <c r="J25" s="8"/>
      <c r="K25" s="114"/>
      <c r="L25" s="114"/>
      <c r="M25" s="114"/>
      <c r="N25" s="8"/>
      <c r="O25" s="114"/>
      <c r="P25" s="114"/>
      <c r="Q25" s="114"/>
      <c r="R25" s="8"/>
      <c r="S25" s="114"/>
      <c r="T25" s="114"/>
      <c r="U25" s="114"/>
      <c r="V25" s="8"/>
      <c r="W25" s="114"/>
      <c r="X25" s="114"/>
      <c r="Y25" s="114"/>
      <c r="Z25" s="114"/>
    </row>
    <row r="26" spans="1:26" ht="16" x14ac:dyDescent="0.45">
      <c r="A26" s="8"/>
      <c r="B26" s="8"/>
      <c r="C26" s="114"/>
      <c r="D26" s="114"/>
      <c r="E26" s="114"/>
      <c r="F26" s="8"/>
      <c r="G26" s="114"/>
      <c r="H26" s="114"/>
      <c r="I26" s="114"/>
      <c r="J26" s="8"/>
      <c r="K26" s="114"/>
      <c r="L26" s="114"/>
      <c r="M26" s="114"/>
      <c r="N26" s="8"/>
      <c r="O26" s="114"/>
      <c r="P26" s="114"/>
      <c r="Q26" s="114"/>
      <c r="R26" s="8"/>
      <c r="S26" s="114"/>
      <c r="T26" s="114"/>
      <c r="U26" s="114"/>
      <c r="V26" s="8"/>
      <c r="W26" s="114"/>
      <c r="X26" s="114"/>
      <c r="Y26" s="114"/>
      <c r="Z26" s="114"/>
    </row>
    <row r="27" spans="1:26" ht="16" x14ac:dyDescent="0.45">
      <c r="A27" s="8"/>
      <c r="B27" s="8"/>
      <c r="C27" s="114"/>
      <c r="D27" s="114"/>
      <c r="E27" s="114"/>
      <c r="F27" s="8"/>
      <c r="G27" s="114"/>
      <c r="H27" s="114"/>
      <c r="I27" s="114"/>
      <c r="J27" s="8"/>
      <c r="K27" s="114"/>
      <c r="L27" s="114"/>
      <c r="M27" s="114"/>
      <c r="N27" s="8"/>
      <c r="O27" s="114"/>
      <c r="P27" s="114"/>
      <c r="Q27" s="114"/>
      <c r="R27" s="8"/>
      <c r="S27" s="114"/>
      <c r="T27" s="114"/>
      <c r="U27" s="114"/>
      <c r="V27" s="8"/>
      <c r="W27" s="114"/>
      <c r="X27" s="114"/>
      <c r="Y27" s="114"/>
      <c r="Z27" s="114"/>
    </row>
    <row r="28" spans="1:26" x14ac:dyDescent="0.4">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x14ac:dyDescent="0.4">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x14ac:dyDescent="0.4">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x14ac:dyDescent="0.4">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x14ac:dyDescent="0.4">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x14ac:dyDescent="0.4">
      <c r="A33" s="6"/>
      <c r="B33" s="6"/>
      <c r="C33" s="6"/>
      <c r="D33" s="6"/>
      <c r="E33" s="6"/>
      <c r="F33" s="6"/>
      <c r="G33" s="6"/>
      <c r="H33" s="6"/>
      <c r="I33" s="6"/>
      <c r="J33" s="6"/>
      <c r="K33" s="6"/>
      <c r="L33" s="6"/>
      <c r="M33" s="6"/>
      <c r="N33" s="6"/>
      <c r="O33" s="6"/>
      <c r="P33" s="6"/>
      <c r="Q33" s="6"/>
      <c r="R33" s="6"/>
      <c r="S33" s="6"/>
      <c r="T33" s="6"/>
      <c r="U33" s="6"/>
      <c r="V33" s="6"/>
      <c r="W33" s="6"/>
      <c r="X33" s="6"/>
      <c r="Y33" s="6"/>
      <c r="Z33" s="6"/>
    </row>
  </sheetData>
  <sheetProtection algorithmName="SHA-512" hashValue="Zd/u1avTJa+y8S7oqfgoOhbuTU4eV8HF9cDwX58ZKy/Thp5Ngh6rdcrGmlmwnc8yp/iojo/zLN/n3CUns2IBdw==" saltValue="/gHjDwoeDcKT2d2GtmX3ZA==" spinCount="100000" sheet="1" objects="1" scenarios="1"/>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6D121-00E1-4624-951B-19CC82365F64}">
  <sheetPr codeName="Sheet34">
    <tabColor rgb="FFC00000"/>
  </sheetPr>
  <dimension ref="A2:Q463"/>
  <sheetViews>
    <sheetView showGridLines="0" topLeftCell="A29" zoomScale="61" zoomScaleNormal="61" workbookViewId="0">
      <selection activeCell="P32" sqref="P32"/>
    </sheetView>
  </sheetViews>
  <sheetFormatPr defaultColWidth="9.1796875" defaultRowHeight="16" x14ac:dyDescent="0.45"/>
  <cols>
    <col min="1" max="1" width="2.7265625" style="25" customWidth="1"/>
    <col min="2" max="2" width="18" style="25" customWidth="1"/>
    <col min="3" max="9" width="15.453125" style="25" customWidth="1"/>
    <col min="10" max="10" width="10.1796875" style="25" customWidth="1"/>
    <col min="11" max="11" width="2" style="25" bestFit="1" customWidth="1"/>
    <col min="12" max="12" width="2.26953125" style="25" customWidth="1"/>
    <col min="13" max="13" width="21.1796875" style="25" customWidth="1"/>
    <col min="14" max="14" width="26.54296875" style="25" customWidth="1"/>
    <col min="15" max="17" width="15.453125" style="25" customWidth="1"/>
    <col min="18" max="16384" width="9.1796875" style="25"/>
  </cols>
  <sheetData>
    <row r="2" spans="1:17" x14ac:dyDescent="0.45">
      <c r="B2" s="126"/>
      <c r="C2" s="126"/>
      <c r="D2" s="133"/>
      <c r="E2" s="126"/>
      <c r="F2" s="126"/>
      <c r="G2" s="126"/>
      <c r="H2" s="126"/>
      <c r="I2" s="126"/>
      <c r="J2" s="126"/>
      <c r="K2" s="126"/>
      <c r="L2" s="126"/>
      <c r="M2" s="126"/>
      <c r="N2" s="126"/>
      <c r="O2" s="126"/>
      <c r="P2" s="126"/>
      <c r="Q2" s="126"/>
    </row>
    <row r="3" spans="1:17" x14ac:dyDescent="0.45">
      <c r="B3" s="127" t="s">
        <v>326</v>
      </c>
      <c r="C3" s="128"/>
      <c r="D3" s="126"/>
      <c r="E3" s="126"/>
      <c r="F3" s="126"/>
      <c r="G3" s="126"/>
      <c r="H3" s="126"/>
      <c r="I3" s="126"/>
      <c r="J3" s="126"/>
      <c r="K3" s="126"/>
      <c r="L3" s="126"/>
      <c r="M3" s="126"/>
      <c r="N3" s="126"/>
      <c r="O3" s="126"/>
      <c r="P3" s="126"/>
      <c r="Q3" s="126"/>
    </row>
    <row r="4" spans="1:17" x14ac:dyDescent="0.45">
      <c r="B4" s="128" t="s">
        <v>364</v>
      </c>
      <c r="C4" s="126"/>
      <c r="D4" s="126"/>
      <c r="E4" s="126"/>
      <c r="F4" s="126"/>
      <c r="G4" s="126"/>
      <c r="H4" s="126"/>
      <c r="I4" s="126"/>
      <c r="J4" s="126"/>
      <c r="K4" s="126"/>
      <c r="L4" s="126"/>
      <c r="M4" s="126"/>
      <c r="N4" s="126"/>
      <c r="O4" s="126"/>
      <c r="P4" s="126"/>
      <c r="Q4" s="126"/>
    </row>
    <row r="7" spans="1:17" x14ac:dyDescent="0.45">
      <c r="A7" s="25" t="s">
        <v>14</v>
      </c>
      <c r="B7" s="124" t="s">
        <v>360</v>
      </c>
      <c r="C7" s="124"/>
      <c r="D7" s="124"/>
      <c r="E7" s="124"/>
      <c r="F7" s="124"/>
      <c r="G7" s="124"/>
      <c r="H7" s="124"/>
      <c r="I7" s="124"/>
    </row>
    <row r="8" spans="1:17" x14ac:dyDescent="0.45">
      <c r="A8" s="61"/>
    </row>
    <row r="9" spans="1:17" x14ac:dyDescent="0.45">
      <c r="A9" s="61"/>
      <c r="B9" s="110">
        <v>1</v>
      </c>
      <c r="C9" s="25" t="s">
        <v>2444</v>
      </c>
      <c r="K9" s="51">
        <v>2</v>
      </c>
      <c r="L9" s="25" t="s">
        <v>2525</v>
      </c>
    </row>
    <row r="10" spans="1:17" x14ac:dyDescent="0.45">
      <c r="B10" s="110"/>
    </row>
    <row r="11" spans="1:17" x14ac:dyDescent="0.45">
      <c r="D11" s="110"/>
      <c r="E11" s="111" t="s">
        <v>226</v>
      </c>
      <c r="F11" s="112">
        <v>0.02</v>
      </c>
      <c r="K11" s="25" t="s">
        <v>14</v>
      </c>
      <c r="L11" s="124" t="s">
        <v>366</v>
      </c>
      <c r="M11" s="124"/>
      <c r="N11" s="124"/>
      <c r="O11" s="124"/>
      <c r="P11" s="124"/>
      <c r="Q11" s="124"/>
    </row>
    <row r="13" spans="1:17" x14ac:dyDescent="0.45">
      <c r="B13" s="420" t="s">
        <v>2445</v>
      </c>
      <c r="C13" s="420"/>
      <c r="D13" s="420"/>
      <c r="E13" s="420"/>
      <c r="F13" s="420"/>
      <c r="G13" s="420"/>
      <c r="H13" s="420"/>
      <c r="M13" s="25" t="s">
        <v>2470</v>
      </c>
      <c r="O13" s="454">
        <f>SUM(AppleData[Selling Price])</f>
        <v>156316.3700000002</v>
      </c>
    </row>
    <row r="15" spans="1:17" x14ac:dyDescent="0.45">
      <c r="B15" s="495" t="s">
        <v>308</v>
      </c>
      <c r="C15" s="496" t="s">
        <v>2446</v>
      </c>
      <c r="D15" s="496" t="s">
        <v>2447</v>
      </c>
      <c r="E15" s="496" t="s">
        <v>506</v>
      </c>
      <c r="F15" s="497" t="s">
        <v>224</v>
      </c>
      <c r="G15" s="498" t="s">
        <v>221</v>
      </c>
      <c r="H15" s="496" t="s">
        <v>226</v>
      </c>
      <c r="M15" s="25" t="s">
        <v>2471</v>
      </c>
      <c r="O15" s="454">
        <f>AVERAGE(AppleData[Selling Price])</f>
        <v>349.70105145413913</v>
      </c>
    </row>
    <row r="16" spans="1:17" x14ac:dyDescent="0.45">
      <c r="B16" s="457">
        <v>43684</v>
      </c>
      <c r="C16" s="354" t="s">
        <v>2448</v>
      </c>
      <c r="D16" s="355" t="s">
        <v>2449</v>
      </c>
      <c r="E16" s="355" t="s">
        <v>2450</v>
      </c>
      <c r="F16" s="459">
        <v>799.95</v>
      </c>
      <c r="G16" s="458">
        <v>9</v>
      </c>
      <c r="H16" s="25">
        <f>AppleData[[#This Row],[Selling Price]]*$F$11*AppleData[[#This Row],[Quantity]]</f>
        <v>143.99100000000001</v>
      </c>
    </row>
    <row r="17" spans="2:17" x14ac:dyDescent="0.45">
      <c r="B17" s="457">
        <v>43684</v>
      </c>
      <c r="C17" s="354" t="s">
        <v>2451</v>
      </c>
      <c r="D17" s="355" t="s">
        <v>2452</v>
      </c>
      <c r="E17" s="355" t="s">
        <v>2453</v>
      </c>
      <c r="F17" s="459">
        <v>168.95</v>
      </c>
      <c r="G17" s="458">
        <v>12</v>
      </c>
      <c r="H17" s="25">
        <f>AppleData[[#This Row],[Selling Price]]*$F$11*AppleData[[#This Row],[Quantity]]</f>
        <v>40.548000000000002</v>
      </c>
      <c r="M17" s="25" t="s">
        <v>2472</v>
      </c>
      <c r="O17" s="113">
        <f>COUNT(AppleData[Quantity])</f>
        <v>447</v>
      </c>
    </row>
    <row r="18" spans="2:17" x14ac:dyDescent="0.45">
      <c r="B18" s="457">
        <v>43684</v>
      </c>
      <c r="C18" s="354" t="s">
        <v>2454</v>
      </c>
      <c r="D18" s="355" t="s">
        <v>2455</v>
      </c>
      <c r="E18" s="355" t="s">
        <v>2456</v>
      </c>
      <c r="F18" s="459">
        <v>340.95</v>
      </c>
      <c r="G18" s="458">
        <v>10</v>
      </c>
      <c r="H18" s="25">
        <f>AppleData[[#This Row],[Selling Price]]*$F$11*AppleData[[#This Row],[Quantity]]</f>
        <v>68.19</v>
      </c>
    </row>
    <row r="19" spans="2:17" x14ac:dyDescent="0.45">
      <c r="B19" s="457">
        <v>43685</v>
      </c>
      <c r="C19" s="354" t="s">
        <v>2457</v>
      </c>
      <c r="D19" s="355" t="s">
        <v>2449</v>
      </c>
      <c r="E19" s="355" t="s">
        <v>2453</v>
      </c>
      <c r="F19" s="459">
        <v>168.95</v>
      </c>
      <c r="G19" s="458">
        <v>15</v>
      </c>
      <c r="H19" s="25">
        <f>AppleData[[#This Row],[Selling Price]]*$F$11*AppleData[[#This Row],[Quantity]]</f>
        <v>50.685000000000002</v>
      </c>
      <c r="M19" s="25" t="s">
        <v>2473</v>
      </c>
      <c r="O19" s="454">
        <f>MAX(AppleData[Commission])</f>
        <v>319.98</v>
      </c>
    </row>
    <row r="20" spans="2:17" x14ac:dyDescent="0.45">
      <c r="B20" s="457">
        <v>43686</v>
      </c>
      <c r="C20" s="354" t="s">
        <v>2457</v>
      </c>
      <c r="D20" s="355" t="s">
        <v>2458</v>
      </c>
      <c r="E20" s="355" t="s">
        <v>2450</v>
      </c>
      <c r="F20" s="459">
        <v>799.95</v>
      </c>
      <c r="G20" s="458">
        <v>9</v>
      </c>
      <c r="H20" s="25">
        <f>AppleData[[#This Row],[Selling Price]]*$F$11*AppleData[[#This Row],[Quantity]]</f>
        <v>143.99100000000001</v>
      </c>
    </row>
    <row r="21" spans="2:17" x14ac:dyDescent="0.45">
      <c r="B21" s="457">
        <v>43686</v>
      </c>
      <c r="C21" s="354" t="s">
        <v>2457</v>
      </c>
      <c r="D21" s="355" t="s">
        <v>2455</v>
      </c>
      <c r="E21" s="355" t="s">
        <v>2453</v>
      </c>
      <c r="F21" s="459">
        <v>168.95</v>
      </c>
      <c r="G21" s="458">
        <v>12</v>
      </c>
      <c r="H21" s="25">
        <f>AppleData[[#This Row],[Selling Price]]*$F$11*AppleData[[#This Row],[Quantity]]</f>
        <v>40.548000000000002</v>
      </c>
      <c r="M21" s="25" t="s">
        <v>2474</v>
      </c>
      <c r="O21" s="454">
        <f>MIN(AppleData[Commission])</f>
        <v>1.5997999999999999</v>
      </c>
    </row>
    <row r="22" spans="2:17" x14ac:dyDescent="0.45">
      <c r="B22" s="457">
        <v>43686</v>
      </c>
      <c r="C22" s="354" t="s">
        <v>2459</v>
      </c>
      <c r="D22" s="355" t="s">
        <v>2449</v>
      </c>
      <c r="E22" s="355" t="s">
        <v>2450</v>
      </c>
      <c r="F22" s="459">
        <v>799.95</v>
      </c>
      <c r="G22" s="458">
        <v>9</v>
      </c>
      <c r="H22" s="25">
        <f>AppleData[[#This Row],[Selling Price]]*$F$11*AppleData[[#This Row],[Quantity]]</f>
        <v>143.99100000000001</v>
      </c>
    </row>
    <row r="23" spans="2:17" x14ac:dyDescent="0.45">
      <c r="B23" s="457">
        <v>43686</v>
      </c>
      <c r="C23" s="354" t="s">
        <v>2460</v>
      </c>
      <c r="D23" s="355" t="s">
        <v>2458</v>
      </c>
      <c r="E23" s="355" t="s">
        <v>2461</v>
      </c>
      <c r="F23" s="459">
        <v>340.95</v>
      </c>
      <c r="G23" s="458">
        <v>6</v>
      </c>
      <c r="H23" s="25">
        <f>AppleData[[#This Row],[Selling Price]]*$F$11*AppleData[[#This Row],[Quantity]]</f>
        <v>40.914000000000001</v>
      </c>
    </row>
    <row r="24" spans="2:17" x14ac:dyDescent="0.45">
      <c r="B24" s="457">
        <v>43687</v>
      </c>
      <c r="C24" s="354" t="s">
        <v>2462</v>
      </c>
      <c r="D24" s="355" t="s">
        <v>2455</v>
      </c>
      <c r="E24" s="355" t="s">
        <v>2463</v>
      </c>
      <c r="F24" s="459">
        <v>79.989999999999995</v>
      </c>
      <c r="G24" s="458">
        <v>8</v>
      </c>
      <c r="H24" s="25">
        <f>AppleData[[#This Row],[Selling Price]]*$F$11*AppleData[[#This Row],[Quantity]]</f>
        <v>12.798399999999999</v>
      </c>
      <c r="K24" s="25" t="s">
        <v>14</v>
      </c>
      <c r="L24" s="124" t="s">
        <v>372</v>
      </c>
      <c r="M24" s="124"/>
      <c r="N24" s="124"/>
      <c r="O24" s="124"/>
      <c r="P24" s="124"/>
      <c r="Q24" s="124"/>
    </row>
    <row r="25" spans="2:17" x14ac:dyDescent="0.45">
      <c r="B25" s="457">
        <v>43687</v>
      </c>
      <c r="C25" s="354" t="s">
        <v>2457</v>
      </c>
      <c r="D25" s="355" t="s">
        <v>2464</v>
      </c>
      <c r="E25" s="355" t="s">
        <v>2450</v>
      </c>
      <c r="F25" s="459">
        <v>799.95</v>
      </c>
      <c r="G25" s="458">
        <v>8</v>
      </c>
      <c r="H25" s="25">
        <f>AppleData[[#This Row],[Selling Price]]*$F$11*AppleData[[#This Row],[Quantity]]</f>
        <v>127.992</v>
      </c>
    </row>
    <row r="26" spans="2:17" x14ac:dyDescent="0.45">
      <c r="B26" s="457">
        <v>43687</v>
      </c>
      <c r="C26" s="354" t="s">
        <v>2465</v>
      </c>
      <c r="D26" s="355" t="s">
        <v>2455</v>
      </c>
      <c r="E26" s="355" t="s">
        <v>2461</v>
      </c>
      <c r="F26" s="459">
        <v>340.95</v>
      </c>
      <c r="G26" s="458">
        <v>3</v>
      </c>
      <c r="H26" s="25">
        <f>AppleData[[#This Row],[Selling Price]]*$F$11*AppleData[[#This Row],[Quantity]]</f>
        <v>20.457000000000001</v>
      </c>
      <c r="L26" s="25" t="s">
        <v>1</v>
      </c>
      <c r="M26" s="25" t="s">
        <v>2475</v>
      </c>
      <c r="P26" s="454">
        <f>SUMIF(AppleData[Product],"Airpod",AppleData[Selling Price])</f>
        <v>72795.449999999881</v>
      </c>
    </row>
    <row r="27" spans="2:17" x14ac:dyDescent="0.45">
      <c r="B27" s="457">
        <v>43687</v>
      </c>
      <c r="C27" s="354" t="s">
        <v>2460</v>
      </c>
      <c r="D27" s="355" t="s">
        <v>2452</v>
      </c>
      <c r="E27" s="355" t="s">
        <v>2456</v>
      </c>
      <c r="F27" s="459">
        <v>340.95</v>
      </c>
      <c r="G27" s="458">
        <v>1</v>
      </c>
      <c r="H27" s="25">
        <f>AppleData[[#This Row],[Selling Price]]*$F$11*AppleData[[#This Row],[Quantity]]</f>
        <v>6.819</v>
      </c>
    </row>
    <row r="28" spans="2:17" x14ac:dyDescent="0.45">
      <c r="B28" s="457">
        <v>43688</v>
      </c>
      <c r="C28" s="354" t="s">
        <v>2454</v>
      </c>
      <c r="D28" s="355" t="s">
        <v>2449</v>
      </c>
      <c r="E28" s="355" t="s">
        <v>2461</v>
      </c>
      <c r="F28" s="459">
        <v>340.95</v>
      </c>
      <c r="G28" s="458">
        <v>15</v>
      </c>
      <c r="H28" s="25">
        <f>AppleData[[#This Row],[Selling Price]]*$F$11*AppleData[[#This Row],[Quantity]]</f>
        <v>102.285</v>
      </c>
      <c r="L28" s="25" t="s">
        <v>2</v>
      </c>
      <c r="M28" s="25" t="s">
        <v>2476</v>
      </c>
      <c r="P28" s="454">
        <f>AVERAGEIF(AppleData[Customer],"Compu Ghana",AppleData[Selling Price])</f>
        <v>321.29612244898016</v>
      </c>
    </row>
    <row r="29" spans="2:17" x14ac:dyDescent="0.45">
      <c r="B29" s="457">
        <v>43688</v>
      </c>
      <c r="C29" s="354" t="s">
        <v>2465</v>
      </c>
      <c r="D29" s="355" t="s">
        <v>2464</v>
      </c>
      <c r="E29" s="355" t="s">
        <v>2450</v>
      </c>
      <c r="F29" s="459">
        <v>799.95</v>
      </c>
      <c r="G29" s="458">
        <v>14</v>
      </c>
      <c r="H29" s="25">
        <f>AppleData[[#This Row],[Selling Price]]*$F$11*AppleData[[#This Row],[Quantity]]</f>
        <v>223.98600000000002</v>
      </c>
    </row>
    <row r="30" spans="2:17" x14ac:dyDescent="0.45">
      <c r="B30" s="457">
        <v>43688</v>
      </c>
      <c r="C30" s="354" t="s">
        <v>2457</v>
      </c>
      <c r="D30" s="355" t="s">
        <v>2458</v>
      </c>
      <c r="E30" s="355" t="s">
        <v>2456</v>
      </c>
      <c r="F30" s="459">
        <v>340.95</v>
      </c>
      <c r="G30" s="458">
        <v>6</v>
      </c>
      <c r="H30" s="25">
        <f>AppleData[[#This Row],[Selling Price]]*$F$11*AppleData[[#This Row],[Quantity]]</f>
        <v>40.914000000000001</v>
      </c>
      <c r="L30" s="25" t="s">
        <v>3</v>
      </c>
      <c r="M30" s="25" t="s">
        <v>2477</v>
      </c>
      <c r="P30" s="113">
        <f>COUNTIF(AppleData[Customer],"Done Deals Ltd")</f>
        <v>83</v>
      </c>
    </row>
    <row r="31" spans="2:17" x14ac:dyDescent="0.45">
      <c r="B31" s="457">
        <v>43689</v>
      </c>
      <c r="C31" s="354" t="s">
        <v>2454</v>
      </c>
      <c r="D31" s="355" t="s">
        <v>2455</v>
      </c>
      <c r="E31" s="355" t="s">
        <v>2463</v>
      </c>
      <c r="F31" s="459">
        <v>79.989999999999995</v>
      </c>
      <c r="G31" s="458">
        <v>9</v>
      </c>
      <c r="H31" s="25">
        <f>AppleData[[#This Row],[Selling Price]]*$F$11*AppleData[[#This Row],[Quantity]]</f>
        <v>14.398199999999999</v>
      </c>
    </row>
    <row r="32" spans="2:17" x14ac:dyDescent="0.45">
      <c r="B32" s="457">
        <v>43689</v>
      </c>
      <c r="C32" s="354" t="s">
        <v>2448</v>
      </c>
      <c r="D32" s="355" t="s">
        <v>2455</v>
      </c>
      <c r="E32" s="355" t="s">
        <v>2461</v>
      </c>
      <c r="F32" s="459">
        <v>340.95</v>
      </c>
      <c r="G32" s="458">
        <v>6</v>
      </c>
      <c r="H32" s="25">
        <f>AppleData[[#This Row],[Selling Price]]*$F$11*AppleData[[#This Row],[Quantity]]</f>
        <v>40.914000000000001</v>
      </c>
      <c r="L32" s="25" t="s">
        <v>4</v>
      </c>
      <c r="M32" s="25" t="s">
        <v>2478</v>
      </c>
      <c r="P32" s="113">
        <v>371</v>
      </c>
    </row>
    <row r="33" spans="2:17" x14ac:dyDescent="0.45">
      <c r="B33" s="457">
        <v>43689</v>
      </c>
      <c r="C33" s="354" t="s">
        <v>2457</v>
      </c>
      <c r="D33" s="355" t="s">
        <v>2458</v>
      </c>
      <c r="E33" s="355" t="s">
        <v>2463</v>
      </c>
      <c r="F33" s="459">
        <v>79.989999999999995</v>
      </c>
      <c r="G33" s="458">
        <v>13</v>
      </c>
      <c r="H33" s="25">
        <f>AppleData[[#This Row],[Selling Price]]*$F$11*AppleData[[#This Row],[Quantity]]</f>
        <v>20.7974</v>
      </c>
      <c r="P33" s="113"/>
    </row>
    <row r="34" spans="2:17" x14ac:dyDescent="0.45">
      <c r="B34" s="457">
        <v>43689</v>
      </c>
      <c r="C34" s="354" t="s">
        <v>2460</v>
      </c>
      <c r="D34" s="355" t="s">
        <v>2449</v>
      </c>
      <c r="E34" s="355" t="s">
        <v>2450</v>
      </c>
      <c r="F34" s="459">
        <v>799.95</v>
      </c>
      <c r="G34" s="458">
        <v>8</v>
      </c>
      <c r="H34" s="25">
        <f>AppleData[[#This Row],[Selling Price]]*$F$11*AppleData[[#This Row],[Quantity]]</f>
        <v>127.992</v>
      </c>
    </row>
    <row r="35" spans="2:17" x14ac:dyDescent="0.45">
      <c r="B35" s="457">
        <v>43690</v>
      </c>
      <c r="C35" s="354" t="s">
        <v>2457</v>
      </c>
      <c r="D35" s="355" t="s">
        <v>2464</v>
      </c>
      <c r="E35" s="355" t="s">
        <v>2450</v>
      </c>
      <c r="F35" s="459">
        <v>799.95</v>
      </c>
      <c r="G35" s="458">
        <v>7</v>
      </c>
      <c r="H35" s="25">
        <f>AppleData[[#This Row],[Selling Price]]*$F$11*AppleData[[#This Row],[Quantity]]</f>
        <v>111.99300000000001</v>
      </c>
    </row>
    <row r="36" spans="2:17" x14ac:dyDescent="0.45">
      <c r="B36" s="457">
        <v>43694</v>
      </c>
      <c r="C36" s="354" t="s">
        <v>2448</v>
      </c>
      <c r="D36" s="355" t="s">
        <v>2464</v>
      </c>
      <c r="E36" s="355" t="s">
        <v>2456</v>
      </c>
      <c r="F36" s="459">
        <v>340.95</v>
      </c>
      <c r="G36" s="458">
        <v>4</v>
      </c>
      <c r="H36" s="25">
        <f>AppleData[[#This Row],[Selling Price]]*$F$11*AppleData[[#This Row],[Quantity]]</f>
        <v>27.276</v>
      </c>
      <c r="K36" s="25" t="s">
        <v>14</v>
      </c>
      <c r="L36" s="353" t="s">
        <v>377</v>
      </c>
      <c r="M36" s="353"/>
      <c r="N36" s="353"/>
      <c r="O36" s="353"/>
      <c r="P36" s="353"/>
      <c r="Q36" s="353"/>
    </row>
    <row r="37" spans="2:17" x14ac:dyDescent="0.45">
      <c r="B37" s="457">
        <v>43694</v>
      </c>
      <c r="C37" s="354" t="s">
        <v>2466</v>
      </c>
      <c r="D37" s="355" t="s">
        <v>2452</v>
      </c>
      <c r="E37" s="355" t="s">
        <v>2456</v>
      </c>
      <c r="F37" s="459">
        <v>340.95</v>
      </c>
      <c r="G37" s="458">
        <v>13</v>
      </c>
      <c r="H37" s="25">
        <f>AppleData[[#This Row],[Selling Price]]*$F$11*AppleData[[#This Row],[Quantity]]</f>
        <v>88.647000000000006</v>
      </c>
    </row>
    <row r="38" spans="2:17" x14ac:dyDescent="0.45">
      <c r="B38" s="457">
        <v>43694</v>
      </c>
      <c r="C38" s="354" t="s">
        <v>2462</v>
      </c>
      <c r="D38" s="355" t="s">
        <v>2464</v>
      </c>
      <c r="E38" s="355" t="s">
        <v>2461</v>
      </c>
      <c r="F38" s="459">
        <v>340.95</v>
      </c>
      <c r="G38" s="458">
        <v>5</v>
      </c>
      <c r="H38" s="25">
        <f>AppleData[[#This Row],[Selling Price]]*$F$11*AppleData[[#This Row],[Quantity]]</f>
        <v>34.094999999999999</v>
      </c>
      <c r="L38" s="25" t="s">
        <v>1</v>
      </c>
      <c r="M38" s="25" t="s">
        <v>2479</v>
      </c>
      <c r="Q38" s="113">
        <f>SUMIFS(AppleData[Commission],AppleData[Product],"Macbook",AppleData[Customer],"Feddie's Corner")</f>
        <v>483.19699999999995</v>
      </c>
    </row>
    <row r="39" spans="2:17" x14ac:dyDescent="0.45">
      <c r="B39" s="457">
        <v>43695</v>
      </c>
      <c r="C39" s="354" t="s">
        <v>2467</v>
      </c>
      <c r="D39" s="355" t="s">
        <v>2455</v>
      </c>
      <c r="E39" s="355" t="s">
        <v>2461</v>
      </c>
      <c r="F39" s="459">
        <v>340.95</v>
      </c>
      <c r="G39" s="458">
        <v>12</v>
      </c>
      <c r="H39" s="25">
        <f>AppleData[[#This Row],[Selling Price]]*$F$11*AppleData[[#This Row],[Quantity]]</f>
        <v>81.828000000000003</v>
      </c>
    </row>
    <row r="40" spans="2:17" x14ac:dyDescent="0.45">
      <c r="B40" s="457">
        <v>43695</v>
      </c>
      <c r="C40" s="354" t="s">
        <v>2454</v>
      </c>
      <c r="D40" s="355" t="s">
        <v>2455</v>
      </c>
      <c r="E40" s="355" t="s">
        <v>2461</v>
      </c>
      <c r="F40" s="459">
        <v>340.95</v>
      </c>
      <c r="G40" s="458">
        <v>3</v>
      </c>
      <c r="H40" s="25">
        <f>AppleData[[#This Row],[Selling Price]]*$F$11*AppleData[[#This Row],[Quantity]]</f>
        <v>20.457000000000001</v>
      </c>
      <c r="L40" s="25" t="s">
        <v>2</v>
      </c>
      <c r="M40" s="25" t="s">
        <v>2480</v>
      </c>
      <c r="Q40" s="113">
        <f>SUMIFS(AppleData[Commission],AppleData[Salesperson],"Owen, Robert",AppleData[Product],"&lt;&gt;Ipad")</f>
        <v>3671.9130000000005</v>
      </c>
    </row>
    <row r="41" spans="2:17" x14ac:dyDescent="0.45">
      <c r="B41" s="457">
        <v>43696</v>
      </c>
      <c r="C41" s="354" t="s">
        <v>2468</v>
      </c>
      <c r="D41" s="355" t="s">
        <v>2455</v>
      </c>
      <c r="E41" s="355" t="s">
        <v>2450</v>
      </c>
      <c r="F41" s="459">
        <v>799.95</v>
      </c>
      <c r="G41" s="458">
        <v>1</v>
      </c>
      <c r="H41" s="25">
        <f>AppleData[[#This Row],[Selling Price]]*$F$11*AppleData[[#This Row],[Quantity]]</f>
        <v>15.999000000000001</v>
      </c>
    </row>
    <row r="42" spans="2:17" x14ac:dyDescent="0.45">
      <c r="B42" s="457">
        <v>43696</v>
      </c>
      <c r="C42" s="354" t="s">
        <v>2457</v>
      </c>
      <c r="D42" s="355" t="s">
        <v>2449</v>
      </c>
      <c r="E42" s="355" t="s">
        <v>2456</v>
      </c>
      <c r="F42" s="459">
        <v>340.95</v>
      </c>
      <c r="G42" s="458">
        <v>3</v>
      </c>
      <c r="H42" s="25">
        <f>AppleData[[#This Row],[Selling Price]]*$F$11*AppleData[[#This Row],[Quantity]]</f>
        <v>20.457000000000001</v>
      </c>
      <c r="L42" s="25" t="s">
        <v>2</v>
      </c>
      <c r="M42" s="25" t="s">
        <v>2481</v>
      </c>
      <c r="Q42" s="113">
        <f>COUNTIFS(AppleData[Customer],"Walk in",AppleData[Product],"airpod",AppleData[Quantity],"&gt;5")</f>
        <v>19</v>
      </c>
    </row>
    <row r="43" spans="2:17" x14ac:dyDescent="0.45">
      <c r="B43" s="457">
        <v>43697</v>
      </c>
      <c r="C43" s="354" t="s">
        <v>2459</v>
      </c>
      <c r="D43" s="355" t="s">
        <v>2464</v>
      </c>
      <c r="E43" s="355" t="s">
        <v>2461</v>
      </c>
      <c r="F43" s="459">
        <v>340.95</v>
      </c>
      <c r="G43" s="458">
        <v>9</v>
      </c>
      <c r="H43" s="25">
        <f>AppleData[[#This Row],[Selling Price]]*$F$11*AppleData[[#This Row],[Quantity]]</f>
        <v>61.371000000000002</v>
      </c>
    </row>
    <row r="44" spans="2:17" x14ac:dyDescent="0.45">
      <c r="B44" s="457">
        <v>43697</v>
      </c>
      <c r="C44" s="354" t="s">
        <v>2460</v>
      </c>
      <c r="D44" s="355" t="s">
        <v>2464</v>
      </c>
      <c r="E44" s="355" t="s">
        <v>2461</v>
      </c>
      <c r="F44" s="459">
        <v>340.95</v>
      </c>
      <c r="G44" s="458">
        <v>15</v>
      </c>
      <c r="H44" s="25">
        <f>AppleData[[#This Row],[Selling Price]]*$F$11*AppleData[[#This Row],[Quantity]]</f>
        <v>102.285</v>
      </c>
      <c r="L44" s="25" t="s">
        <v>3</v>
      </c>
      <c r="M44" s="25" t="s">
        <v>2482</v>
      </c>
      <c r="Q44" s="113">
        <f>COUNTIFS(AppleData[Date],"&gt;="&amp;M51,AppleData[Date],"&lt;="&amp;N51)</f>
        <v>447</v>
      </c>
    </row>
    <row r="45" spans="2:17" x14ac:dyDescent="0.45">
      <c r="B45" s="457">
        <v>43698</v>
      </c>
      <c r="C45" s="354" t="s">
        <v>2462</v>
      </c>
      <c r="D45" s="355" t="s">
        <v>2452</v>
      </c>
      <c r="E45" s="355" t="s">
        <v>2463</v>
      </c>
      <c r="F45" s="459">
        <v>79.989999999999995</v>
      </c>
      <c r="G45" s="458">
        <v>11</v>
      </c>
      <c r="H45" s="25">
        <f>AppleData[[#This Row],[Selling Price]]*$F$11*AppleData[[#This Row],[Quantity]]</f>
        <v>17.597799999999999</v>
      </c>
    </row>
    <row r="46" spans="2:17" x14ac:dyDescent="0.45">
      <c r="B46" s="457">
        <v>43698</v>
      </c>
      <c r="C46" s="354" t="s">
        <v>2465</v>
      </c>
      <c r="D46" s="355" t="s">
        <v>2449</v>
      </c>
      <c r="E46" s="355" t="s">
        <v>2463</v>
      </c>
      <c r="F46" s="459">
        <v>79.989999999999995</v>
      </c>
      <c r="G46" s="458">
        <v>15</v>
      </c>
      <c r="H46" s="25">
        <f>AppleData[[#This Row],[Selling Price]]*$F$11*AppleData[[#This Row],[Quantity]]</f>
        <v>23.997</v>
      </c>
    </row>
    <row r="47" spans="2:17" x14ac:dyDescent="0.45">
      <c r="B47" s="457">
        <v>43698</v>
      </c>
      <c r="C47" s="354" t="s">
        <v>2462</v>
      </c>
      <c r="D47" s="355" t="s">
        <v>2455</v>
      </c>
      <c r="E47" s="355" t="s">
        <v>2456</v>
      </c>
      <c r="F47" s="459">
        <v>340.95</v>
      </c>
      <c r="G47" s="458">
        <v>19</v>
      </c>
      <c r="H47" s="25">
        <f>AppleData[[#This Row],[Selling Price]]*$F$11*AppleData[[#This Row],[Quantity]]</f>
        <v>129.56100000000001</v>
      </c>
    </row>
    <row r="48" spans="2:17" x14ac:dyDescent="0.45">
      <c r="B48" s="457">
        <v>43699</v>
      </c>
      <c r="C48" s="354" t="s">
        <v>2469</v>
      </c>
      <c r="D48" s="355" t="s">
        <v>2458</v>
      </c>
      <c r="E48" s="355" t="s">
        <v>2463</v>
      </c>
      <c r="F48" s="459">
        <v>79.989999999999995</v>
      </c>
      <c r="G48" s="458">
        <v>13</v>
      </c>
      <c r="H48" s="25">
        <f>AppleData[[#This Row],[Selling Price]]*$F$11*AppleData[[#This Row],[Quantity]]</f>
        <v>20.7974</v>
      </c>
    </row>
    <row r="49" spans="2:14" x14ac:dyDescent="0.45">
      <c r="B49" s="457">
        <v>43699</v>
      </c>
      <c r="C49" s="354" t="s">
        <v>2462</v>
      </c>
      <c r="D49" s="355" t="s">
        <v>2455</v>
      </c>
      <c r="E49" s="355" t="s">
        <v>2456</v>
      </c>
      <c r="F49" s="459">
        <v>340.95</v>
      </c>
      <c r="G49" s="458">
        <v>7</v>
      </c>
      <c r="H49" s="25">
        <f>AppleData[[#This Row],[Selling Price]]*$F$11*AppleData[[#This Row],[Quantity]]</f>
        <v>47.732999999999997</v>
      </c>
    </row>
    <row r="50" spans="2:14" x14ac:dyDescent="0.45">
      <c r="B50" s="457">
        <v>43700</v>
      </c>
      <c r="C50" s="354" t="s">
        <v>2457</v>
      </c>
      <c r="D50" s="355" t="s">
        <v>2455</v>
      </c>
      <c r="E50" s="355" t="s">
        <v>2456</v>
      </c>
      <c r="F50" s="459">
        <v>340.95</v>
      </c>
      <c r="G50" s="458">
        <v>8</v>
      </c>
      <c r="H50" s="25">
        <f>AppleData[[#This Row],[Selling Price]]*$F$11*AppleData[[#This Row],[Quantity]]</f>
        <v>54.552</v>
      </c>
    </row>
    <row r="51" spans="2:14" x14ac:dyDescent="0.45">
      <c r="B51" s="457">
        <v>43701</v>
      </c>
      <c r="C51" s="354" t="s">
        <v>2460</v>
      </c>
      <c r="D51" s="355" t="s">
        <v>2452</v>
      </c>
      <c r="E51" s="355" t="s">
        <v>2461</v>
      </c>
      <c r="F51" s="459">
        <v>340.95</v>
      </c>
      <c r="G51" s="458">
        <v>8</v>
      </c>
      <c r="H51" s="25">
        <f>AppleData[[#This Row],[Selling Price]]*$F$11*AppleData[[#This Row],[Quantity]]</f>
        <v>54.552</v>
      </c>
      <c r="M51" s="464">
        <v>43525</v>
      </c>
      <c r="N51" s="464">
        <v>44086</v>
      </c>
    </row>
    <row r="52" spans="2:14" x14ac:dyDescent="0.45">
      <c r="B52" s="457">
        <v>43702</v>
      </c>
      <c r="C52" s="354" t="s">
        <v>2462</v>
      </c>
      <c r="D52" s="355" t="s">
        <v>2464</v>
      </c>
      <c r="E52" s="355" t="s">
        <v>2463</v>
      </c>
      <c r="F52" s="459">
        <v>79.989999999999995</v>
      </c>
      <c r="G52" s="458">
        <v>12</v>
      </c>
      <c r="H52" s="25">
        <f>AppleData[[#This Row],[Selling Price]]*$F$11*AppleData[[#This Row],[Quantity]]</f>
        <v>19.197599999999998</v>
      </c>
    </row>
    <row r="53" spans="2:14" x14ac:dyDescent="0.45">
      <c r="B53" s="457">
        <v>43703</v>
      </c>
      <c r="C53" s="354" t="s">
        <v>2469</v>
      </c>
      <c r="D53" s="355" t="s">
        <v>2464</v>
      </c>
      <c r="E53" s="355" t="s">
        <v>2463</v>
      </c>
      <c r="F53" s="459">
        <v>79.989999999999995</v>
      </c>
      <c r="G53" s="458">
        <v>11</v>
      </c>
      <c r="H53" s="25">
        <f>AppleData[[#This Row],[Selling Price]]*$F$11*AppleData[[#This Row],[Quantity]]</f>
        <v>17.597799999999999</v>
      </c>
    </row>
    <row r="54" spans="2:14" x14ac:dyDescent="0.45">
      <c r="B54" s="457">
        <v>43705</v>
      </c>
      <c r="C54" s="354" t="s">
        <v>2460</v>
      </c>
      <c r="D54" s="355" t="s">
        <v>2464</v>
      </c>
      <c r="E54" s="355" t="s">
        <v>2463</v>
      </c>
      <c r="F54" s="459">
        <v>79.989999999999995</v>
      </c>
      <c r="G54" s="458">
        <v>7</v>
      </c>
      <c r="H54" s="25">
        <f>AppleData[[#This Row],[Selling Price]]*$F$11*AppleData[[#This Row],[Quantity]]</f>
        <v>11.198599999999999</v>
      </c>
    </row>
    <row r="55" spans="2:14" x14ac:dyDescent="0.45">
      <c r="B55" s="457">
        <v>43706</v>
      </c>
      <c r="C55" s="354" t="s">
        <v>2451</v>
      </c>
      <c r="D55" s="355" t="s">
        <v>2452</v>
      </c>
      <c r="E55" s="355" t="s">
        <v>2463</v>
      </c>
      <c r="F55" s="459">
        <v>79.989999999999995</v>
      </c>
      <c r="G55" s="458">
        <v>3</v>
      </c>
      <c r="H55" s="25">
        <f>AppleData[[#This Row],[Selling Price]]*$F$11*AppleData[[#This Row],[Quantity]]</f>
        <v>4.7993999999999994</v>
      </c>
    </row>
    <row r="56" spans="2:14" x14ac:dyDescent="0.45">
      <c r="B56" s="457">
        <v>43706</v>
      </c>
      <c r="C56" s="354" t="s">
        <v>2451</v>
      </c>
      <c r="D56" s="355" t="s">
        <v>2458</v>
      </c>
      <c r="E56" s="355" t="s">
        <v>2463</v>
      </c>
      <c r="F56" s="459">
        <v>79.989999999999995</v>
      </c>
      <c r="G56" s="458">
        <v>2</v>
      </c>
      <c r="H56" s="25">
        <f>AppleData[[#This Row],[Selling Price]]*$F$11*AppleData[[#This Row],[Quantity]]</f>
        <v>3.1995999999999998</v>
      </c>
    </row>
    <row r="57" spans="2:14" x14ac:dyDescent="0.45">
      <c r="B57" s="457">
        <v>43706</v>
      </c>
      <c r="C57" s="354" t="s">
        <v>2454</v>
      </c>
      <c r="D57" s="355" t="s">
        <v>2464</v>
      </c>
      <c r="E57" s="355" t="s">
        <v>2450</v>
      </c>
      <c r="F57" s="459">
        <v>799.95</v>
      </c>
      <c r="G57" s="458">
        <v>14</v>
      </c>
      <c r="H57" s="25">
        <f>AppleData[[#This Row],[Selling Price]]*$F$11*AppleData[[#This Row],[Quantity]]</f>
        <v>223.98600000000002</v>
      </c>
    </row>
    <row r="58" spans="2:14" x14ac:dyDescent="0.45">
      <c r="B58" s="457">
        <v>43707</v>
      </c>
      <c r="C58" s="354" t="s">
        <v>2460</v>
      </c>
      <c r="D58" s="355" t="s">
        <v>2458</v>
      </c>
      <c r="E58" s="355" t="s">
        <v>2461</v>
      </c>
      <c r="F58" s="459">
        <v>340.95</v>
      </c>
      <c r="G58" s="458">
        <v>7</v>
      </c>
      <c r="H58" s="25">
        <f>AppleData[[#This Row],[Selling Price]]*$F$11*AppleData[[#This Row],[Quantity]]</f>
        <v>47.732999999999997</v>
      </c>
    </row>
    <row r="59" spans="2:14" x14ac:dyDescent="0.45">
      <c r="B59" s="457">
        <v>43707</v>
      </c>
      <c r="C59" s="354" t="s">
        <v>2469</v>
      </c>
      <c r="D59" s="355" t="s">
        <v>2455</v>
      </c>
      <c r="E59" s="355" t="s">
        <v>2453</v>
      </c>
      <c r="F59" s="459">
        <v>168.95</v>
      </c>
      <c r="G59" s="458">
        <v>4</v>
      </c>
      <c r="H59" s="25">
        <f>AppleData[[#This Row],[Selling Price]]*$F$11*AppleData[[#This Row],[Quantity]]</f>
        <v>13.516</v>
      </c>
    </row>
    <row r="60" spans="2:14" x14ac:dyDescent="0.45">
      <c r="B60" s="457">
        <v>43707</v>
      </c>
      <c r="C60" s="354" t="s">
        <v>2459</v>
      </c>
      <c r="D60" s="355" t="s">
        <v>2464</v>
      </c>
      <c r="E60" s="355" t="s">
        <v>2463</v>
      </c>
      <c r="F60" s="459">
        <v>79.989999999999995</v>
      </c>
      <c r="G60" s="458">
        <v>8</v>
      </c>
      <c r="H60" s="25">
        <f>AppleData[[#This Row],[Selling Price]]*$F$11*AppleData[[#This Row],[Quantity]]</f>
        <v>12.798399999999999</v>
      </c>
    </row>
    <row r="61" spans="2:14" x14ac:dyDescent="0.45">
      <c r="B61" s="457">
        <v>43708</v>
      </c>
      <c r="C61" s="354" t="s">
        <v>2465</v>
      </c>
      <c r="D61" s="355" t="s">
        <v>2464</v>
      </c>
      <c r="E61" s="355" t="s">
        <v>2456</v>
      </c>
      <c r="F61" s="459">
        <v>340.95</v>
      </c>
      <c r="G61" s="458">
        <v>3</v>
      </c>
      <c r="H61" s="25">
        <f>AppleData[[#This Row],[Selling Price]]*$F$11*AppleData[[#This Row],[Quantity]]</f>
        <v>20.457000000000001</v>
      </c>
    </row>
    <row r="62" spans="2:14" x14ac:dyDescent="0.45">
      <c r="B62" s="457">
        <v>43708</v>
      </c>
      <c r="C62" s="354" t="s">
        <v>2454</v>
      </c>
      <c r="D62" s="355" t="s">
        <v>2458</v>
      </c>
      <c r="E62" s="355" t="s">
        <v>2453</v>
      </c>
      <c r="F62" s="459">
        <v>168.95</v>
      </c>
      <c r="G62" s="458">
        <v>4</v>
      </c>
      <c r="H62" s="25">
        <f>AppleData[[#This Row],[Selling Price]]*$F$11*AppleData[[#This Row],[Quantity]]</f>
        <v>13.516</v>
      </c>
    </row>
    <row r="63" spans="2:14" x14ac:dyDescent="0.45">
      <c r="B63" s="457">
        <v>43708</v>
      </c>
      <c r="C63" s="354" t="s">
        <v>2451</v>
      </c>
      <c r="D63" s="355" t="s">
        <v>2452</v>
      </c>
      <c r="E63" s="355" t="s">
        <v>2456</v>
      </c>
      <c r="F63" s="459">
        <v>340.95</v>
      </c>
      <c r="G63" s="458">
        <v>2</v>
      </c>
      <c r="H63" s="25">
        <f>AppleData[[#This Row],[Selling Price]]*$F$11*AppleData[[#This Row],[Quantity]]</f>
        <v>13.638</v>
      </c>
    </row>
    <row r="64" spans="2:14" x14ac:dyDescent="0.45">
      <c r="B64" s="457">
        <v>43709</v>
      </c>
      <c r="C64" s="354" t="s">
        <v>2457</v>
      </c>
      <c r="D64" s="355" t="s">
        <v>2449</v>
      </c>
      <c r="E64" s="355" t="s">
        <v>2461</v>
      </c>
      <c r="F64" s="459">
        <v>340.95</v>
      </c>
      <c r="G64" s="458">
        <v>13</v>
      </c>
      <c r="H64" s="25">
        <f>AppleData[[#This Row],[Selling Price]]*$F$11*AppleData[[#This Row],[Quantity]]</f>
        <v>88.647000000000006</v>
      </c>
    </row>
    <row r="65" spans="2:8" x14ac:dyDescent="0.45">
      <c r="B65" s="457">
        <v>43709</v>
      </c>
      <c r="C65" s="354" t="s">
        <v>2462</v>
      </c>
      <c r="D65" s="355" t="s">
        <v>2449</v>
      </c>
      <c r="E65" s="355" t="s">
        <v>2450</v>
      </c>
      <c r="F65" s="459">
        <v>799.95</v>
      </c>
      <c r="G65" s="458">
        <v>15</v>
      </c>
      <c r="H65" s="25">
        <f>AppleData[[#This Row],[Selling Price]]*$F$11*AppleData[[#This Row],[Quantity]]</f>
        <v>239.98500000000001</v>
      </c>
    </row>
    <row r="66" spans="2:8" x14ac:dyDescent="0.45">
      <c r="B66" s="457">
        <v>43710</v>
      </c>
      <c r="C66" s="354" t="s">
        <v>2448</v>
      </c>
      <c r="D66" s="355" t="s">
        <v>2458</v>
      </c>
      <c r="E66" s="355" t="s">
        <v>2453</v>
      </c>
      <c r="F66" s="459">
        <v>168.95</v>
      </c>
      <c r="G66" s="458">
        <v>15</v>
      </c>
      <c r="H66" s="25">
        <f>AppleData[[#This Row],[Selling Price]]*$F$11*AppleData[[#This Row],[Quantity]]</f>
        <v>50.685000000000002</v>
      </c>
    </row>
    <row r="67" spans="2:8" x14ac:dyDescent="0.45">
      <c r="B67" s="457">
        <v>43710</v>
      </c>
      <c r="C67" s="354" t="s">
        <v>2454</v>
      </c>
      <c r="D67" s="355" t="s">
        <v>2464</v>
      </c>
      <c r="E67" s="355" t="s">
        <v>2453</v>
      </c>
      <c r="F67" s="459">
        <v>168.95</v>
      </c>
      <c r="G67" s="458">
        <v>14</v>
      </c>
      <c r="H67" s="25">
        <f>AppleData[[#This Row],[Selling Price]]*$F$11*AppleData[[#This Row],[Quantity]]</f>
        <v>47.305999999999997</v>
      </c>
    </row>
    <row r="68" spans="2:8" x14ac:dyDescent="0.45">
      <c r="B68" s="457">
        <v>43710</v>
      </c>
      <c r="C68" s="354" t="s">
        <v>2465</v>
      </c>
      <c r="D68" s="355" t="s">
        <v>2449</v>
      </c>
      <c r="E68" s="355" t="s">
        <v>2456</v>
      </c>
      <c r="F68" s="459">
        <v>340.95</v>
      </c>
      <c r="G68" s="458">
        <v>2</v>
      </c>
      <c r="H68" s="25">
        <f>AppleData[[#This Row],[Selling Price]]*$F$11*AppleData[[#This Row],[Quantity]]</f>
        <v>13.638</v>
      </c>
    </row>
    <row r="69" spans="2:8" x14ac:dyDescent="0.45">
      <c r="B69" s="457">
        <v>43711</v>
      </c>
      <c r="C69" s="354" t="s">
        <v>2460</v>
      </c>
      <c r="D69" s="355" t="s">
        <v>2464</v>
      </c>
      <c r="E69" s="355" t="s">
        <v>2461</v>
      </c>
      <c r="F69" s="459">
        <v>340.95</v>
      </c>
      <c r="G69" s="458">
        <v>12</v>
      </c>
      <c r="H69" s="25">
        <f>AppleData[[#This Row],[Selling Price]]*$F$11*AppleData[[#This Row],[Quantity]]</f>
        <v>81.828000000000003</v>
      </c>
    </row>
    <row r="70" spans="2:8" x14ac:dyDescent="0.45">
      <c r="B70" s="457">
        <v>43711</v>
      </c>
      <c r="C70" s="354" t="s">
        <v>2467</v>
      </c>
      <c r="D70" s="355" t="s">
        <v>2458</v>
      </c>
      <c r="E70" s="355" t="s">
        <v>2453</v>
      </c>
      <c r="F70" s="459">
        <v>168.95</v>
      </c>
      <c r="G70" s="458">
        <v>3</v>
      </c>
      <c r="H70" s="25">
        <f>AppleData[[#This Row],[Selling Price]]*$F$11*AppleData[[#This Row],[Quantity]]</f>
        <v>10.137</v>
      </c>
    </row>
    <row r="71" spans="2:8" x14ac:dyDescent="0.45">
      <c r="B71" s="457">
        <v>43711</v>
      </c>
      <c r="C71" s="354" t="s">
        <v>2448</v>
      </c>
      <c r="D71" s="355" t="s">
        <v>2458</v>
      </c>
      <c r="E71" s="355" t="s">
        <v>2453</v>
      </c>
      <c r="F71" s="459">
        <v>168.95</v>
      </c>
      <c r="G71" s="458">
        <v>6</v>
      </c>
      <c r="H71" s="25">
        <f>AppleData[[#This Row],[Selling Price]]*$F$11*AppleData[[#This Row],[Quantity]]</f>
        <v>20.274000000000001</v>
      </c>
    </row>
    <row r="72" spans="2:8" x14ac:dyDescent="0.45">
      <c r="B72" s="457">
        <v>43712</v>
      </c>
      <c r="C72" s="354" t="s">
        <v>2451</v>
      </c>
      <c r="D72" s="355" t="s">
        <v>2464</v>
      </c>
      <c r="E72" s="355" t="s">
        <v>2450</v>
      </c>
      <c r="F72" s="459">
        <v>799.95</v>
      </c>
      <c r="G72" s="458">
        <v>11</v>
      </c>
      <c r="H72" s="25">
        <f>AppleData[[#This Row],[Selling Price]]*$F$11*AppleData[[#This Row],[Quantity]]</f>
        <v>175.989</v>
      </c>
    </row>
    <row r="73" spans="2:8" x14ac:dyDescent="0.45">
      <c r="B73" s="457">
        <v>43713</v>
      </c>
      <c r="C73" s="354" t="s">
        <v>2457</v>
      </c>
      <c r="D73" s="355" t="s">
        <v>2455</v>
      </c>
      <c r="E73" s="355" t="s">
        <v>2456</v>
      </c>
      <c r="F73" s="459">
        <v>340.95</v>
      </c>
      <c r="G73" s="458">
        <v>1</v>
      </c>
      <c r="H73" s="25">
        <f>AppleData[[#This Row],[Selling Price]]*$F$11*AppleData[[#This Row],[Quantity]]</f>
        <v>6.819</v>
      </c>
    </row>
    <row r="74" spans="2:8" x14ac:dyDescent="0.45">
      <c r="B74" s="457">
        <v>43713</v>
      </c>
      <c r="C74" s="354" t="s">
        <v>2457</v>
      </c>
      <c r="D74" s="355" t="s">
        <v>2458</v>
      </c>
      <c r="E74" s="355" t="s">
        <v>2450</v>
      </c>
      <c r="F74" s="459">
        <v>799.95</v>
      </c>
      <c r="G74" s="458">
        <v>5</v>
      </c>
      <c r="H74" s="25">
        <f>AppleData[[#This Row],[Selling Price]]*$F$11*AppleData[[#This Row],[Quantity]]</f>
        <v>79.995000000000005</v>
      </c>
    </row>
    <row r="75" spans="2:8" x14ac:dyDescent="0.45">
      <c r="B75" s="457">
        <v>43713</v>
      </c>
      <c r="C75" s="354" t="s">
        <v>2451</v>
      </c>
      <c r="D75" s="355" t="s">
        <v>2455</v>
      </c>
      <c r="E75" s="355" t="s">
        <v>2463</v>
      </c>
      <c r="F75" s="459">
        <v>79.989999999999995</v>
      </c>
      <c r="G75" s="458">
        <v>5</v>
      </c>
      <c r="H75" s="25">
        <f>AppleData[[#This Row],[Selling Price]]*$F$11*AppleData[[#This Row],[Quantity]]</f>
        <v>7.9989999999999997</v>
      </c>
    </row>
    <row r="76" spans="2:8" x14ac:dyDescent="0.45">
      <c r="B76" s="457">
        <v>43714</v>
      </c>
      <c r="C76" s="354" t="s">
        <v>2462</v>
      </c>
      <c r="D76" s="355" t="s">
        <v>2464</v>
      </c>
      <c r="E76" s="355" t="s">
        <v>2450</v>
      </c>
      <c r="F76" s="459">
        <v>799.95</v>
      </c>
      <c r="G76" s="458">
        <v>5</v>
      </c>
      <c r="H76" s="25">
        <f>AppleData[[#This Row],[Selling Price]]*$F$11*AppleData[[#This Row],[Quantity]]</f>
        <v>79.995000000000005</v>
      </c>
    </row>
    <row r="77" spans="2:8" x14ac:dyDescent="0.45">
      <c r="B77" s="457">
        <v>43715</v>
      </c>
      <c r="C77" s="354" t="s">
        <v>2465</v>
      </c>
      <c r="D77" s="355" t="s">
        <v>2452</v>
      </c>
      <c r="E77" s="355" t="s">
        <v>2453</v>
      </c>
      <c r="F77" s="459">
        <v>168.95</v>
      </c>
      <c r="G77" s="458">
        <v>13</v>
      </c>
      <c r="H77" s="25">
        <f>AppleData[[#This Row],[Selling Price]]*$F$11*AppleData[[#This Row],[Quantity]]</f>
        <v>43.927</v>
      </c>
    </row>
    <row r="78" spans="2:8" x14ac:dyDescent="0.45">
      <c r="B78" s="457">
        <v>43715</v>
      </c>
      <c r="C78" s="354" t="s">
        <v>2465</v>
      </c>
      <c r="D78" s="355" t="s">
        <v>2455</v>
      </c>
      <c r="E78" s="355" t="s">
        <v>2450</v>
      </c>
      <c r="F78" s="459">
        <v>799.95</v>
      </c>
      <c r="G78" s="458">
        <v>2</v>
      </c>
      <c r="H78" s="25">
        <f>AppleData[[#This Row],[Selling Price]]*$F$11*AppleData[[#This Row],[Quantity]]</f>
        <v>31.998000000000001</v>
      </c>
    </row>
    <row r="79" spans="2:8" x14ac:dyDescent="0.45">
      <c r="B79" s="457">
        <v>43715</v>
      </c>
      <c r="C79" s="354" t="s">
        <v>2460</v>
      </c>
      <c r="D79" s="355" t="s">
        <v>2458</v>
      </c>
      <c r="E79" s="355" t="s">
        <v>2450</v>
      </c>
      <c r="F79" s="459">
        <v>799.95</v>
      </c>
      <c r="G79" s="458">
        <v>13</v>
      </c>
      <c r="H79" s="25">
        <f>AppleData[[#This Row],[Selling Price]]*$F$11*AppleData[[#This Row],[Quantity]]</f>
        <v>207.98699999999999</v>
      </c>
    </row>
    <row r="80" spans="2:8" x14ac:dyDescent="0.45">
      <c r="B80" s="457">
        <v>43715</v>
      </c>
      <c r="C80" s="354" t="s">
        <v>2469</v>
      </c>
      <c r="D80" s="355" t="s">
        <v>2449</v>
      </c>
      <c r="E80" s="355" t="s">
        <v>2461</v>
      </c>
      <c r="F80" s="459">
        <v>340.95</v>
      </c>
      <c r="G80" s="458">
        <v>12</v>
      </c>
      <c r="H80" s="25">
        <f>AppleData[[#This Row],[Selling Price]]*$F$11*AppleData[[#This Row],[Quantity]]</f>
        <v>81.828000000000003</v>
      </c>
    </row>
    <row r="81" spans="2:8" x14ac:dyDescent="0.45">
      <c r="B81" s="457">
        <v>43715</v>
      </c>
      <c r="C81" s="354" t="s">
        <v>2448</v>
      </c>
      <c r="D81" s="355" t="s">
        <v>2452</v>
      </c>
      <c r="E81" s="355" t="s">
        <v>2453</v>
      </c>
      <c r="F81" s="459">
        <v>168.95</v>
      </c>
      <c r="G81" s="458">
        <v>11</v>
      </c>
      <c r="H81" s="25">
        <f>AppleData[[#This Row],[Selling Price]]*$F$11*AppleData[[#This Row],[Quantity]]</f>
        <v>37.168999999999997</v>
      </c>
    </row>
    <row r="82" spans="2:8" x14ac:dyDescent="0.45">
      <c r="B82" s="457">
        <v>43715</v>
      </c>
      <c r="C82" s="354" t="s">
        <v>2465</v>
      </c>
      <c r="D82" s="355" t="s">
        <v>2464</v>
      </c>
      <c r="E82" s="355" t="s">
        <v>2456</v>
      </c>
      <c r="F82" s="459">
        <v>340.95</v>
      </c>
      <c r="G82" s="458">
        <v>8</v>
      </c>
      <c r="H82" s="25">
        <f>AppleData[[#This Row],[Selling Price]]*$F$11*AppleData[[#This Row],[Quantity]]</f>
        <v>54.552</v>
      </c>
    </row>
    <row r="83" spans="2:8" x14ac:dyDescent="0.45">
      <c r="B83" s="457">
        <v>43717</v>
      </c>
      <c r="C83" s="354" t="s">
        <v>2465</v>
      </c>
      <c r="D83" s="355" t="s">
        <v>2455</v>
      </c>
      <c r="E83" s="355" t="s">
        <v>2450</v>
      </c>
      <c r="F83" s="459">
        <v>799.95</v>
      </c>
      <c r="G83" s="458">
        <v>9</v>
      </c>
      <c r="H83" s="25">
        <f>AppleData[[#This Row],[Selling Price]]*$F$11*AppleData[[#This Row],[Quantity]]</f>
        <v>143.99100000000001</v>
      </c>
    </row>
    <row r="84" spans="2:8" x14ac:dyDescent="0.45">
      <c r="B84" s="457">
        <v>43717</v>
      </c>
      <c r="C84" s="354" t="s">
        <v>2457</v>
      </c>
      <c r="D84" s="355" t="s">
        <v>2452</v>
      </c>
      <c r="E84" s="355" t="s">
        <v>2463</v>
      </c>
      <c r="F84" s="459">
        <v>79.989999999999995</v>
      </c>
      <c r="G84" s="458">
        <v>14</v>
      </c>
      <c r="H84" s="25">
        <f>AppleData[[#This Row],[Selling Price]]*$F$11*AppleData[[#This Row],[Quantity]]</f>
        <v>22.397199999999998</v>
      </c>
    </row>
    <row r="85" spans="2:8" x14ac:dyDescent="0.45">
      <c r="B85" s="457">
        <v>43717</v>
      </c>
      <c r="C85" s="354" t="s">
        <v>2451</v>
      </c>
      <c r="D85" s="355" t="s">
        <v>2455</v>
      </c>
      <c r="E85" s="355" t="s">
        <v>2453</v>
      </c>
      <c r="F85" s="459">
        <v>168.95</v>
      </c>
      <c r="G85" s="458">
        <v>7</v>
      </c>
      <c r="H85" s="25">
        <f>AppleData[[#This Row],[Selling Price]]*$F$11*AppleData[[#This Row],[Quantity]]</f>
        <v>23.652999999999999</v>
      </c>
    </row>
    <row r="86" spans="2:8" x14ac:dyDescent="0.45">
      <c r="B86" s="457">
        <v>43718</v>
      </c>
      <c r="C86" s="354" t="s">
        <v>2459</v>
      </c>
      <c r="D86" s="355" t="s">
        <v>2455</v>
      </c>
      <c r="E86" s="355" t="s">
        <v>2463</v>
      </c>
      <c r="F86" s="459">
        <v>79.989999999999995</v>
      </c>
      <c r="G86" s="458">
        <v>12</v>
      </c>
      <c r="H86" s="25">
        <f>AppleData[[#This Row],[Selling Price]]*$F$11*AppleData[[#This Row],[Quantity]]</f>
        <v>19.197599999999998</v>
      </c>
    </row>
    <row r="87" spans="2:8" x14ac:dyDescent="0.45">
      <c r="B87" s="457">
        <v>43718</v>
      </c>
      <c r="C87" s="354" t="s">
        <v>2460</v>
      </c>
      <c r="D87" s="355" t="s">
        <v>2464</v>
      </c>
      <c r="E87" s="355" t="s">
        <v>2450</v>
      </c>
      <c r="F87" s="459">
        <v>799.95</v>
      </c>
      <c r="G87" s="458">
        <v>10</v>
      </c>
      <c r="H87" s="25">
        <f>AppleData[[#This Row],[Selling Price]]*$F$11*AppleData[[#This Row],[Quantity]]</f>
        <v>159.99</v>
      </c>
    </row>
    <row r="88" spans="2:8" x14ac:dyDescent="0.45">
      <c r="B88" s="457">
        <v>43718</v>
      </c>
      <c r="C88" s="354" t="s">
        <v>2454</v>
      </c>
      <c r="D88" s="355" t="s">
        <v>2455</v>
      </c>
      <c r="E88" s="355" t="s">
        <v>2450</v>
      </c>
      <c r="F88" s="459">
        <v>799.95</v>
      </c>
      <c r="G88" s="458">
        <v>3</v>
      </c>
      <c r="H88" s="25">
        <f>AppleData[[#This Row],[Selling Price]]*$F$11*AppleData[[#This Row],[Quantity]]</f>
        <v>47.997</v>
      </c>
    </row>
    <row r="89" spans="2:8" x14ac:dyDescent="0.45">
      <c r="B89" s="457">
        <v>43719</v>
      </c>
      <c r="C89" s="354" t="s">
        <v>2460</v>
      </c>
      <c r="D89" s="355" t="s">
        <v>2464</v>
      </c>
      <c r="E89" s="355" t="s">
        <v>2450</v>
      </c>
      <c r="F89" s="459">
        <v>799.95</v>
      </c>
      <c r="G89" s="458">
        <v>16</v>
      </c>
      <c r="H89" s="25">
        <f>AppleData[[#This Row],[Selling Price]]*$F$11*AppleData[[#This Row],[Quantity]]</f>
        <v>255.98400000000001</v>
      </c>
    </row>
    <row r="90" spans="2:8" x14ac:dyDescent="0.45">
      <c r="B90" s="457">
        <v>43719</v>
      </c>
      <c r="C90" s="354" t="s">
        <v>2448</v>
      </c>
      <c r="D90" s="355" t="s">
        <v>2449</v>
      </c>
      <c r="E90" s="355" t="s">
        <v>2463</v>
      </c>
      <c r="F90" s="459">
        <v>79.989999999999995</v>
      </c>
      <c r="G90" s="458">
        <v>12</v>
      </c>
      <c r="H90" s="25">
        <f>AppleData[[#This Row],[Selling Price]]*$F$11*AppleData[[#This Row],[Quantity]]</f>
        <v>19.197599999999998</v>
      </c>
    </row>
    <row r="91" spans="2:8" x14ac:dyDescent="0.45">
      <c r="B91" s="457">
        <v>43720</v>
      </c>
      <c r="C91" s="354" t="s">
        <v>2457</v>
      </c>
      <c r="D91" s="355" t="s">
        <v>2449</v>
      </c>
      <c r="E91" s="355" t="s">
        <v>2461</v>
      </c>
      <c r="F91" s="459">
        <v>340.95</v>
      </c>
      <c r="G91" s="458">
        <v>1</v>
      </c>
      <c r="H91" s="25">
        <f>AppleData[[#This Row],[Selling Price]]*$F$11*AppleData[[#This Row],[Quantity]]</f>
        <v>6.819</v>
      </c>
    </row>
    <row r="92" spans="2:8" x14ac:dyDescent="0.45">
      <c r="B92" s="457">
        <v>43722</v>
      </c>
      <c r="C92" s="354" t="s">
        <v>2454</v>
      </c>
      <c r="D92" s="355" t="s">
        <v>2452</v>
      </c>
      <c r="E92" s="355" t="s">
        <v>2450</v>
      </c>
      <c r="F92" s="459">
        <v>799.95</v>
      </c>
      <c r="G92" s="458">
        <v>7</v>
      </c>
      <c r="H92" s="25">
        <f>AppleData[[#This Row],[Selling Price]]*$F$11*AppleData[[#This Row],[Quantity]]</f>
        <v>111.99300000000001</v>
      </c>
    </row>
    <row r="93" spans="2:8" x14ac:dyDescent="0.45">
      <c r="B93" s="457">
        <v>43722</v>
      </c>
      <c r="C93" s="354" t="s">
        <v>2448</v>
      </c>
      <c r="D93" s="355" t="s">
        <v>2455</v>
      </c>
      <c r="E93" s="355" t="s">
        <v>2453</v>
      </c>
      <c r="F93" s="459">
        <v>168.95</v>
      </c>
      <c r="G93" s="458">
        <v>1</v>
      </c>
      <c r="H93" s="25">
        <f>AppleData[[#This Row],[Selling Price]]*$F$11*AppleData[[#This Row],[Quantity]]</f>
        <v>3.379</v>
      </c>
    </row>
    <row r="94" spans="2:8" x14ac:dyDescent="0.45">
      <c r="B94" s="457">
        <v>43722</v>
      </c>
      <c r="C94" s="354" t="s">
        <v>2465</v>
      </c>
      <c r="D94" s="355" t="s">
        <v>2458</v>
      </c>
      <c r="E94" s="355" t="s">
        <v>2461</v>
      </c>
      <c r="F94" s="459">
        <v>340.95</v>
      </c>
      <c r="G94" s="458">
        <v>2</v>
      </c>
      <c r="H94" s="25">
        <f>AppleData[[#This Row],[Selling Price]]*$F$11*AppleData[[#This Row],[Quantity]]</f>
        <v>13.638</v>
      </c>
    </row>
    <row r="95" spans="2:8" x14ac:dyDescent="0.45">
      <c r="B95" s="457">
        <v>43723</v>
      </c>
      <c r="C95" s="354" t="s">
        <v>2462</v>
      </c>
      <c r="D95" s="355" t="s">
        <v>2452</v>
      </c>
      <c r="E95" s="355" t="s">
        <v>2463</v>
      </c>
      <c r="F95" s="459">
        <v>79.989999999999995</v>
      </c>
      <c r="G95" s="458">
        <v>12</v>
      </c>
      <c r="H95" s="25">
        <f>AppleData[[#This Row],[Selling Price]]*$F$11*AppleData[[#This Row],[Quantity]]</f>
        <v>19.197599999999998</v>
      </c>
    </row>
    <row r="96" spans="2:8" x14ac:dyDescent="0.45">
      <c r="B96" s="457">
        <v>43723</v>
      </c>
      <c r="C96" s="354" t="s">
        <v>2451</v>
      </c>
      <c r="D96" s="355" t="s">
        <v>2464</v>
      </c>
      <c r="E96" s="355" t="s">
        <v>2463</v>
      </c>
      <c r="F96" s="459">
        <v>79.989999999999995</v>
      </c>
      <c r="G96" s="458">
        <v>9</v>
      </c>
      <c r="H96" s="25">
        <f>AppleData[[#This Row],[Selling Price]]*$F$11*AppleData[[#This Row],[Quantity]]</f>
        <v>14.398199999999999</v>
      </c>
    </row>
    <row r="97" spans="2:8" x14ac:dyDescent="0.45">
      <c r="B97" s="457">
        <v>43725</v>
      </c>
      <c r="C97" s="354" t="s">
        <v>2462</v>
      </c>
      <c r="D97" s="355" t="s">
        <v>2449</v>
      </c>
      <c r="E97" s="355" t="s">
        <v>2453</v>
      </c>
      <c r="F97" s="459">
        <v>168.95</v>
      </c>
      <c r="G97" s="458">
        <v>12</v>
      </c>
      <c r="H97" s="25">
        <f>AppleData[[#This Row],[Selling Price]]*$F$11*AppleData[[#This Row],[Quantity]]</f>
        <v>40.548000000000002</v>
      </c>
    </row>
    <row r="98" spans="2:8" x14ac:dyDescent="0.45">
      <c r="B98" s="457">
        <v>43725</v>
      </c>
      <c r="C98" s="354" t="s">
        <v>2451</v>
      </c>
      <c r="D98" s="355" t="s">
        <v>2449</v>
      </c>
      <c r="E98" s="355" t="s">
        <v>2456</v>
      </c>
      <c r="F98" s="459">
        <v>340.95</v>
      </c>
      <c r="G98" s="458">
        <v>6</v>
      </c>
      <c r="H98" s="25">
        <f>AppleData[[#This Row],[Selling Price]]*$F$11*AppleData[[#This Row],[Quantity]]</f>
        <v>40.914000000000001</v>
      </c>
    </row>
    <row r="99" spans="2:8" x14ac:dyDescent="0.45">
      <c r="B99" s="457">
        <v>43725</v>
      </c>
      <c r="C99" s="354" t="s">
        <v>2465</v>
      </c>
      <c r="D99" s="355" t="s">
        <v>2458</v>
      </c>
      <c r="E99" s="355" t="s">
        <v>2461</v>
      </c>
      <c r="F99" s="459">
        <v>340.95</v>
      </c>
      <c r="G99" s="458">
        <v>12</v>
      </c>
      <c r="H99" s="25">
        <f>AppleData[[#This Row],[Selling Price]]*$F$11*AppleData[[#This Row],[Quantity]]</f>
        <v>81.828000000000003</v>
      </c>
    </row>
    <row r="100" spans="2:8" x14ac:dyDescent="0.45">
      <c r="B100" s="457">
        <v>43726</v>
      </c>
      <c r="C100" s="354" t="s">
        <v>2457</v>
      </c>
      <c r="D100" s="355" t="s">
        <v>2458</v>
      </c>
      <c r="E100" s="355" t="s">
        <v>2463</v>
      </c>
      <c r="F100" s="459">
        <v>79.989999999999995</v>
      </c>
      <c r="G100" s="458">
        <v>11</v>
      </c>
      <c r="H100" s="25">
        <f>AppleData[[#This Row],[Selling Price]]*$F$11*AppleData[[#This Row],[Quantity]]</f>
        <v>17.597799999999999</v>
      </c>
    </row>
    <row r="101" spans="2:8" x14ac:dyDescent="0.45">
      <c r="B101" s="457">
        <v>43726</v>
      </c>
      <c r="C101" s="354" t="s">
        <v>2454</v>
      </c>
      <c r="D101" s="355" t="s">
        <v>2455</v>
      </c>
      <c r="E101" s="355" t="s">
        <v>2463</v>
      </c>
      <c r="F101" s="459">
        <v>79.989999999999995</v>
      </c>
      <c r="G101" s="458">
        <v>10</v>
      </c>
      <c r="H101" s="25">
        <f>AppleData[[#This Row],[Selling Price]]*$F$11*AppleData[[#This Row],[Quantity]]</f>
        <v>15.997999999999999</v>
      </c>
    </row>
    <row r="102" spans="2:8" x14ac:dyDescent="0.45">
      <c r="B102" s="457">
        <v>43727</v>
      </c>
      <c r="C102" s="354" t="s">
        <v>2462</v>
      </c>
      <c r="D102" s="355" t="s">
        <v>2464</v>
      </c>
      <c r="E102" s="355" t="s">
        <v>2453</v>
      </c>
      <c r="F102" s="459">
        <v>168.95</v>
      </c>
      <c r="G102" s="458">
        <v>13</v>
      </c>
      <c r="H102" s="25">
        <f>AppleData[[#This Row],[Selling Price]]*$F$11*AppleData[[#This Row],[Quantity]]</f>
        <v>43.927</v>
      </c>
    </row>
    <row r="103" spans="2:8" x14ac:dyDescent="0.45">
      <c r="B103" s="457">
        <v>43727</v>
      </c>
      <c r="C103" s="354" t="s">
        <v>2460</v>
      </c>
      <c r="D103" s="355" t="s">
        <v>2464</v>
      </c>
      <c r="E103" s="355" t="s">
        <v>2456</v>
      </c>
      <c r="F103" s="459">
        <v>340.95</v>
      </c>
      <c r="G103" s="458">
        <v>10</v>
      </c>
      <c r="H103" s="25">
        <f>AppleData[[#This Row],[Selling Price]]*$F$11*AppleData[[#This Row],[Quantity]]</f>
        <v>68.19</v>
      </c>
    </row>
    <row r="104" spans="2:8" x14ac:dyDescent="0.45">
      <c r="B104" s="457">
        <v>43728</v>
      </c>
      <c r="C104" s="354" t="s">
        <v>2451</v>
      </c>
      <c r="D104" s="355" t="s">
        <v>2458</v>
      </c>
      <c r="E104" s="355" t="s">
        <v>2463</v>
      </c>
      <c r="F104" s="459">
        <v>79.989999999999995</v>
      </c>
      <c r="G104" s="458">
        <v>7</v>
      </c>
      <c r="H104" s="25">
        <f>AppleData[[#This Row],[Selling Price]]*$F$11*AppleData[[#This Row],[Quantity]]</f>
        <v>11.198599999999999</v>
      </c>
    </row>
    <row r="105" spans="2:8" x14ac:dyDescent="0.45">
      <c r="B105" s="457">
        <v>43729</v>
      </c>
      <c r="C105" s="354" t="s">
        <v>2465</v>
      </c>
      <c r="D105" s="355" t="s">
        <v>2449</v>
      </c>
      <c r="E105" s="355" t="s">
        <v>2456</v>
      </c>
      <c r="F105" s="459">
        <v>340.95</v>
      </c>
      <c r="G105" s="458">
        <v>20</v>
      </c>
      <c r="H105" s="25">
        <f>AppleData[[#This Row],[Selling Price]]*$F$11*AppleData[[#This Row],[Quantity]]</f>
        <v>136.38</v>
      </c>
    </row>
    <row r="106" spans="2:8" x14ac:dyDescent="0.45">
      <c r="B106" s="457">
        <v>43729</v>
      </c>
      <c r="C106" s="354" t="s">
        <v>2465</v>
      </c>
      <c r="D106" s="355" t="s">
        <v>2455</v>
      </c>
      <c r="E106" s="355" t="s">
        <v>2456</v>
      </c>
      <c r="F106" s="459">
        <v>340.95</v>
      </c>
      <c r="G106" s="458">
        <v>5</v>
      </c>
      <c r="H106" s="25">
        <f>AppleData[[#This Row],[Selling Price]]*$F$11*AppleData[[#This Row],[Quantity]]</f>
        <v>34.094999999999999</v>
      </c>
    </row>
    <row r="107" spans="2:8" x14ac:dyDescent="0.45">
      <c r="B107" s="457">
        <v>43729</v>
      </c>
      <c r="C107" s="354" t="s">
        <v>2469</v>
      </c>
      <c r="D107" s="355" t="s">
        <v>2452</v>
      </c>
      <c r="E107" s="355" t="s">
        <v>2456</v>
      </c>
      <c r="F107" s="459">
        <v>340.95</v>
      </c>
      <c r="G107" s="458">
        <v>14</v>
      </c>
      <c r="H107" s="25">
        <f>AppleData[[#This Row],[Selling Price]]*$F$11*AppleData[[#This Row],[Quantity]]</f>
        <v>95.465999999999994</v>
      </c>
    </row>
    <row r="108" spans="2:8" x14ac:dyDescent="0.45">
      <c r="B108" s="457">
        <v>43730</v>
      </c>
      <c r="C108" s="354" t="s">
        <v>2457</v>
      </c>
      <c r="D108" s="355" t="s">
        <v>2464</v>
      </c>
      <c r="E108" s="355" t="s">
        <v>2461</v>
      </c>
      <c r="F108" s="459">
        <v>340.95</v>
      </c>
      <c r="G108" s="458">
        <v>1</v>
      </c>
      <c r="H108" s="25">
        <f>AppleData[[#This Row],[Selling Price]]*$F$11*AppleData[[#This Row],[Quantity]]</f>
        <v>6.819</v>
      </c>
    </row>
    <row r="109" spans="2:8" x14ac:dyDescent="0.45">
      <c r="B109" s="457">
        <v>43732</v>
      </c>
      <c r="C109" s="354" t="s">
        <v>2459</v>
      </c>
      <c r="D109" s="355" t="s">
        <v>2455</v>
      </c>
      <c r="E109" s="355" t="s">
        <v>2463</v>
      </c>
      <c r="F109" s="459">
        <v>79.989999999999995</v>
      </c>
      <c r="G109" s="458">
        <v>10</v>
      </c>
      <c r="H109" s="25">
        <f>AppleData[[#This Row],[Selling Price]]*$F$11*AppleData[[#This Row],[Quantity]]</f>
        <v>15.997999999999999</v>
      </c>
    </row>
    <row r="110" spans="2:8" x14ac:dyDescent="0.45">
      <c r="B110" s="457">
        <v>43732</v>
      </c>
      <c r="C110" s="354" t="s">
        <v>2465</v>
      </c>
      <c r="D110" s="355" t="s">
        <v>2452</v>
      </c>
      <c r="E110" s="355" t="s">
        <v>2456</v>
      </c>
      <c r="F110" s="459">
        <v>340.95</v>
      </c>
      <c r="G110" s="458">
        <v>7</v>
      </c>
      <c r="H110" s="25">
        <f>AppleData[[#This Row],[Selling Price]]*$F$11*AppleData[[#This Row],[Quantity]]</f>
        <v>47.732999999999997</v>
      </c>
    </row>
    <row r="111" spans="2:8" x14ac:dyDescent="0.45">
      <c r="B111" s="457">
        <v>43733</v>
      </c>
      <c r="C111" s="354" t="s">
        <v>2448</v>
      </c>
      <c r="D111" s="355" t="s">
        <v>2458</v>
      </c>
      <c r="E111" s="355" t="s">
        <v>2456</v>
      </c>
      <c r="F111" s="459">
        <v>340.95</v>
      </c>
      <c r="G111" s="458">
        <v>15</v>
      </c>
      <c r="H111" s="25">
        <f>AppleData[[#This Row],[Selling Price]]*$F$11*AppleData[[#This Row],[Quantity]]</f>
        <v>102.285</v>
      </c>
    </row>
    <row r="112" spans="2:8" x14ac:dyDescent="0.45">
      <c r="B112" s="457">
        <v>43734</v>
      </c>
      <c r="C112" s="354" t="s">
        <v>2454</v>
      </c>
      <c r="D112" s="355" t="s">
        <v>2458</v>
      </c>
      <c r="E112" s="355" t="s">
        <v>2453</v>
      </c>
      <c r="F112" s="459">
        <v>168.95</v>
      </c>
      <c r="G112" s="458">
        <v>13</v>
      </c>
      <c r="H112" s="25">
        <f>AppleData[[#This Row],[Selling Price]]*$F$11*AppleData[[#This Row],[Quantity]]</f>
        <v>43.927</v>
      </c>
    </row>
    <row r="113" spans="2:8" x14ac:dyDescent="0.45">
      <c r="B113" s="457">
        <v>43734</v>
      </c>
      <c r="C113" s="354" t="s">
        <v>2454</v>
      </c>
      <c r="D113" s="355" t="s">
        <v>2458</v>
      </c>
      <c r="E113" s="355" t="s">
        <v>2450</v>
      </c>
      <c r="F113" s="459">
        <v>799.95</v>
      </c>
      <c r="G113" s="458">
        <v>7</v>
      </c>
      <c r="H113" s="25">
        <f>AppleData[[#This Row],[Selling Price]]*$F$11*AppleData[[#This Row],[Quantity]]</f>
        <v>111.99300000000001</v>
      </c>
    </row>
    <row r="114" spans="2:8" x14ac:dyDescent="0.45">
      <c r="B114" s="457">
        <v>43734</v>
      </c>
      <c r="C114" s="354" t="s">
        <v>2451</v>
      </c>
      <c r="D114" s="355" t="s">
        <v>2455</v>
      </c>
      <c r="E114" s="355" t="s">
        <v>2453</v>
      </c>
      <c r="F114" s="459">
        <v>168.95</v>
      </c>
      <c r="G114" s="458">
        <v>5</v>
      </c>
      <c r="H114" s="25">
        <f>AppleData[[#This Row],[Selling Price]]*$F$11*AppleData[[#This Row],[Quantity]]</f>
        <v>16.895</v>
      </c>
    </row>
    <row r="115" spans="2:8" x14ac:dyDescent="0.45">
      <c r="B115" s="457">
        <v>43734</v>
      </c>
      <c r="C115" s="354" t="s">
        <v>2469</v>
      </c>
      <c r="D115" s="355" t="s">
        <v>2452</v>
      </c>
      <c r="E115" s="355" t="s">
        <v>2456</v>
      </c>
      <c r="F115" s="459">
        <v>340.95</v>
      </c>
      <c r="G115" s="458">
        <v>14</v>
      </c>
      <c r="H115" s="25">
        <f>AppleData[[#This Row],[Selling Price]]*$F$11*AppleData[[#This Row],[Quantity]]</f>
        <v>95.465999999999994</v>
      </c>
    </row>
    <row r="116" spans="2:8" x14ac:dyDescent="0.45">
      <c r="B116" s="457">
        <v>43735</v>
      </c>
      <c r="C116" s="354" t="s">
        <v>2448</v>
      </c>
      <c r="D116" s="355" t="s">
        <v>2452</v>
      </c>
      <c r="E116" s="355" t="s">
        <v>2461</v>
      </c>
      <c r="F116" s="459">
        <v>340.95</v>
      </c>
      <c r="G116" s="458">
        <v>9</v>
      </c>
      <c r="H116" s="25">
        <f>AppleData[[#This Row],[Selling Price]]*$F$11*AppleData[[#This Row],[Quantity]]</f>
        <v>61.371000000000002</v>
      </c>
    </row>
    <row r="117" spans="2:8" x14ac:dyDescent="0.45">
      <c r="B117" s="457">
        <v>43735</v>
      </c>
      <c r="C117" s="354" t="s">
        <v>2465</v>
      </c>
      <c r="D117" s="355" t="s">
        <v>2452</v>
      </c>
      <c r="E117" s="355" t="s">
        <v>2453</v>
      </c>
      <c r="F117" s="459">
        <v>168.95</v>
      </c>
      <c r="G117" s="458">
        <v>15</v>
      </c>
      <c r="H117" s="25">
        <f>AppleData[[#This Row],[Selling Price]]*$F$11*AppleData[[#This Row],[Quantity]]</f>
        <v>50.685000000000002</v>
      </c>
    </row>
    <row r="118" spans="2:8" x14ac:dyDescent="0.45">
      <c r="B118" s="457">
        <v>43735</v>
      </c>
      <c r="C118" s="354" t="s">
        <v>2460</v>
      </c>
      <c r="D118" s="355" t="s">
        <v>2464</v>
      </c>
      <c r="E118" s="355" t="s">
        <v>2450</v>
      </c>
      <c r="F118" s="459">
        <v>799.95</v>
      </c>
      <c r="G118" s="458">
        <v>13</v>
      </c>
      <c r="H118" s="25">
        <f>AppleData[[#This Row],[Selling Price]]*$F$11*AppleData[[#This Row],[Quantity]]</f>
        <v>207.98699999999999</v>
      </c>
    </row>
    <row r="119" spans="2:8" x14ac:dyDescent="0.45">
      <c r="B119" s="457">
        <v>43735</v>
      </c>
      <c r="C119" s="354" t="s">
        <v>2457</v>
      </c>
      <c r="D119" s="355" t="s">
        <v>2458</v>
      </c>
      <c r="E119" s="355" t="s">
        <v>2461</v>
      </c>
      <c r="F119" s="459">
        <v>340.95</v>
      </c>
      <c r="G119" s="458">
        <v>10</v>
      </c>
      <c r="H119" s="25">
        <f>AppleData[[#This Row],[Selling Price]]*$F$11*AppleData[[#This Row],[Quantity]]</f>
        <v>68.19</v>
      </c>
    </row>
    <row r="120" spans="2:8" x14ac:dyDescent="0.45">
      <c r="B120" s="457">
        <v>43736</v>
      </c>
      <c r="C120" s="354" t="s">
        <v>2462</v>
      </c>
      <c r="D120" s="355" t="s">
        <v>2464</v>
      </c>
      <c r="E120" s="355" t="s">
        <v>2456</v>
      </c>
      <c r="F120" s="459">
        <v>340.95</v>
      </c>
      <c r="G120" s="458">
        <v>11</v>
      </c>
      <c r="H120" s="25">
        <f>AppleData[[#This Row],[Selling Price]]*$F$11*AppleData[[#This Row],[Quantity]]</f>
        <v>75.009</v>
      </c>
    </row>
    <row r="121" spans="2:8" x14ac:dyDescent="0.45">
      <c r="B121" s="457">
        <v>43737</v>
      </c>
      <c r="C121" s="354" t="s">
        <v>2454</v>
      </c>
      <c r="D121" s="355" t="s">
        <v>2464</v>
      </c>
      <c r="E121" s="355" t="s">
        <v>2463</v>
      </c>
      <c r="F121" s="459">
        <v>79.989999999999995</v>
      </c>
      <c r="G121" s="458">
        <v>8</v>
      </c>
      <c r="H121" s="25">
        <f>AppleData[[#This Row],[Selling Price]]*$F$11*AppleData[[#This Row],[Quantity]]</f>
        <v>12.798399999999999</v>
      </c>
    </row>
    <row r="122" spans="2:8" x14ac:dyDescent="0.45">
      <c r="B122" s="457">
        <v>43737</v>
      </c>
      <c r="C122" s="354" t="s">
        <v>2469</v>
      </c>
      <c r="D122" s="355" t="s">
        <v>2455</v>
      </c>
      <c r="E122" s="355" t="s">
        <v>2456</v>
      </c>
      <c r="F122" s="459">
        <v>340.95</v>
      </c>
      <c r="G122" s="458">
        <v>9</v>
      </c>
      <c r="H122" s="25">
        <f>AppleData[[#This Row],[Selling Price]]*$F$11*AppleData[[#This Row],[Quantity]]</f>
        <v>61.371000000000002</v>
      </c>
    </row>
    <row r="123" spans="2:8" x14ac:dyDescent="0.45">
      <c r="B123" s="457">
        <v>43738</v>
      </c>
      <c r="C123" s="354" t="s">
        <v>2465</v>
      </c>
      <c r="D123" s="355" t="s">
        <v>2452</v>
      </c>
      <c r="E123" s="355" t="s">
        <v>2456</v>
      </c>
      <c r="F123" s="459">
        <v>340.95</v>
      </c>
      <c r="G123" s="458">
        <v>7</v>
      </c>
      <c r="H123" s="25">
        <f>AppleData[[#This Row],[Selling Price]]*$F$11*AppleData[[#This Row],[Quantity]]</f>
        <v>47.732999999999997</v>
      </c>
    </row>
    <row r="124" spans="2:8" x14ac:dyDescent="0.45">
      <c r="B124" s="457">
        <v>43738</v>
      </c>
      <c r="C124" s="354" t="s">
        <v>2457</v>
      </c>
      <c r="D124" s="355" t="s">
        <v>2452</v>
      </c>
      <c r="E124" s="355" t="s">
        <v>2450</v>
      </c>
      <c r="F124" s="459">
        <v>799.95</v>
      </c>
      <c r="G124" s="458">
        <v>9</v>
      </c>
      <c r="H124" s="25">
        <f>AppleData[[#This Row],[Selling Price]]*$F$11*AppleData[[#This Row],[Quantity]]</f>
        <v>143.99100000000001</v>
      </c>
    </row>
    <row r="125" spans="2:8" x14ac:dyDescent="0.45">
      <c r="B125" s="457">
        <v>43739</v>
      </c>
      <c r="C125" s="354" t="s">
        <v>2465</v>
      </c>
      <c r="D125" s="355" t="s">
        <v>2464</v>
      </c>
      <c r="E125" s="355" t="s">
        <v>2461</v>
      </c>
      <c r="F125" s="459">
        <v>340.95</v>
      </c>
      <c r="G125" s="458">
        <v>12</v>
      </c>
      <c r="H125" s="25">
        <f>AppleData[[#This Row],[Selling Price]]*$F$11*AppleData[[#This Row],[Quantity]]</f>
        <v>81.828000000000003</v>
      </c>
    </row>
    <row r="126" spans="2:8" x14ac:dyDescent="0.45">
      <c r="B126" s="457">
        <v>43739</v>
      </c>
      <c r="C126" s="354" t="s">
        <v>2454</v>
      </c>
      <c r="D126" s="355" t="s">
        <v>2458</v>
      </c>
      <c r="E126" s="355" t="s">
        <v>2456</v>
      </c>
      <c r="F126" s="459">
        <v>340.95</v>
      </c>
      <c r="G126" s="458">
        <v>7</v>
      </c>
      <c r="H126" s="25">
        <f>AppleData[[#This Row],[Selling Price]]*$F$11*AppleData[[#This Row],[Quantity]]</f>
        <v>47.732999999999997</v>
      </c>
    </row>
    <row r="127" spans="2:8" x14ac:dyDescent="0.45">
      <c r="B127" s="457">
        <v>43739</v>
      </c>
      <c r="C127" s="354" t="s">
        <v>2469</v>
      </c>
      <c r="D127" s="355" t="s">
        <v>2464</v>
      </c>
      <c r="E127" s="355" t="s">
        <v>2463</v>
      </c>
      <c r="F127" s="459">
        <v>79.989999999999995</v>
      </c>
      <c r="G127" s="458">
        <v>12</v>
      </c>
      <c r="H127" s="25">
        <f>AppleData[[#This Row],[Selling Price]]*$F$11*AppleData[[#This Row],[Quantity]]</f>
        <v>19.197599999999998</v>
      </c>
    </row>
    <row r="128" spans="2:8" x14ac:dyDescent="0.45">
      <c r="B128" s="457">
        <v>43741</v>
      </c>
      <c r="C128" s="354" t="s">
        <v>2460</v>
      </c>
      <c r="D128" s="355" t="s">
        <v>2449</v>
      </c>
      <c r="E128" s="355" t="s">
        <v>2463</v>
      </c>
      <c r="F128" s="459">
        <v>79.989999999999995</v>
      </c>
      <c r="G128" s="458">
        <v>6</v>
      </c>
      <c r="H128" s="25">
        <f>AppleData[[#This Row],[Selling Price]]*$F$11*AppleData[[#This Row],[Quantity]]</f>
        <v>9.5987999999999989</v>
      </c>
    </row>
    <row r="129" spans="2:8" x14ac:dyDescent="0.45">
      <c r="B129" s="457">
        <v>43742</v>
      </c>
      <c r="C129" s="354" t="s">
        <v>2460</v>
      </c>
      <c r="D129" s="355" t="s">
        <v>2452</v>
      </c>
      <c r="E129" s="355" t="s">
        <v>2461</v>
      </c>
      <c r="F129" s="459">
        <v>340.95</v>
      </c>
      <c r="G129" s="458">
        <v>11</v>
      </c>
      <c r="H129" s="25">
        <f>AppleData[[#This Row],[Selling Price]]*$F$11*AppleData[[#This Row],[Quantity]]</f>
        <v>75.009</v>
      </c>
    </row>
    <row r="130" spans="2:8" x14ac:dyDescent="0.45">
      <c r="B130" s="457">
        <v>43742</v>
      </c>
      <c r="C130" s="354" t="s">
        <v>2448</v>
      </c>
      <c r="D130" s="355" t="s">
        <v>2452</v>
      </c>
      <c r="E130" s="355" t="s">
        <v>2453</v>
      </c>
      <c r="F130" s="459">
        <v>168.95</v>
      </c>
      <c r="G130" s="458">
        <v>6</v>
      </c>
      <c r="H130" s="25">
        <f>AppleData[[#This Row],[Selling Price]]*$F$11*AppleData[[#This Row],[Quantity]]</f>
        <v>20.274000000000001</v>
      </c>
    </row>
    <row r="131" spans="2:8" x14ac:dyDescent="0.45">
      <c r="B131" s="457">
        <v>43743</v>
      </c>
      <c r="C131" s="354" t="s">
        <v>2462</v>
      </c>
      <c r="D131" s="355" t="s">
        <v>2449</v>
      </c>
      <c r="E131" s="355" t="s">
        <v>2453</v>
      </c>
      <c r="F131" s="459">
        <v>168.95</v>
      </c>
      <c r="G131" s="458">
        <v>7</v>
      </c>
      <c r="H131" s="25">
        <f>AppleData[[#This Row],[Selling Price]]*$F$11*AppleData[[#This Row],[Quantity]]</f>
        <v>23.652999999999999</v>
      </c>
    </row>
    <row r="132" spans="2:8" x14ac:dyDescent="0.45">
      <c r="B132" s="457">
        <v>43744</v>
      </c>
      <c r="C132" s="354" t="s">
        <v>2465</v>
      </c>
      <c r="D132" s="355" t="s">
        <v>2464</v>
      </c>
      <c r="E132" s="355" t="s">
        <v>2461</v>
      </c>
      <c r="F132" s="459">
        <v>340.95</v>
      </c>
      <c r="G132" s="458">
        <v>9</v>
      </c>
      <c r="H132" s="25">
        <f>AppleData[[#This Row],[Selling Price]]*$F$11*AppleData[[#This Row],[Quantity]]</f>
        <v>61.371000000000002</v>
      </c>
    </row>
    <row r="133" spans="2:8" x14ac:dyDescent="0.45">
      <c r="B133" s="457">
        <v>43744</v>
      </c>
      <c r="C133" s="354" t="s">
        <v>2457</v>
      </c>
      <c r="D133" s="355" t="s">
        <v>2455</v>
      </c>
      <c r="E133" s="355" t="s">
        <v>2453</v>
      </c>
      <c r="F133" s="459">
        <v>168.95</v>
      </c>
      <c r="G133" s="458">
        <v>1</v>
      </c>
      <c r="H133" s="25">
        <f>AppleData[[#This Row],[Selling Price]]*$F$11*AppleData[[#This Row],[Quantity]]</f>
        <v>3.379</v>
      </c>
    </row>
    <row r="134" spans="2:8" x14ac:dyDescent="0.45">
      <c r="B134" s="457">
        <v>43744</v>
      </c>
      <c r="C134" s="354" t="s">
        <v>2468</v>
      </c>
      <c r="D134" s="355" t="s">
        <v>2449</v>
      </c>
      <c r="E134" s="355" t="s">
        <v>2450</v>
      </c>
      <c r="F134" s="459">
        <v>799.95</v>
      </c>
      <c r="G134" s="458">
        <v>14</v>
      </c>
      <c r="H134" s="25">
        <f>AppleData[[#This Row],[Selling Price]]*$F$11*AppleData[[#This Row],[Quantity]]</f>
        <v>223.98600000000002</v>
      </c>
    </row>
    <row r="135" spans="2:8" x14ac:dyDescent="0.45">
      <c r="B135" s="457">
        <v>43745</v>
      </c>
      <c r="C135" s="354" t="s">
        <v>2457</v>
      </c>
      <c r="D135" s="355" t="s">
        <v>2464</v>
      </c>
      <c r="E135" s="355" t="s">
        <v>2461</v>
      </c>
      <c r="F135" s="459">
        <v>340.95</v>
      </c>
      <c r="G135" s="458">
        <v>18</v>
      </c>
      <c r="H135" s="25">
        <f>AppleData[[#This Row],[Selling Price]]*$F$11*AppleData[[#This Row],[Quantity]]</f>
        <v>122.742</v>
      </c>
    </row>
    <row r="136" spans="2:8" x14ac:dyDescent="0.45">
      <c r="B136" s="457">
        <v>43746</v>
      </c>
      <c r="C136" s="354" t="s">
        <v>2469</v>
      </c>
      <c r="D136" s="355" t="s">
        <v>2455</v>
      </c>
      <c r="E136" s="355" t="s">
        <v>2463</v>
      </c>
      <c r="F136" s="459">
        <v>79.989999999999995</v>
      </c>
      <c r="G136" s="458">
        <v>1</v>
      </c>
      <c r="H136" s="25">
        <f>AppleData[[#This Row],[Selling Price]]*$F$11*AppleData[[#This Row],[Quantity]]</f>
        <v>1.5997999999999999</v>
      </c>
    </row>
    <row r="137" spans="2:8" x14ac:dyDescent="0.45">
      <c r="B137" s="457">
        <v>43746</v>
      </c>
      <c r="C137" s="354" t="s">
        <v>2469</v>
      </c>
      <c r="D137" s="355" t="s">
        <v>2449</v>
      </c>
      <c r="E137" s="355" t="s">
        <v>2453</v>
      </c>
      <c r="F137" s="459">
        <v>168.95</v>
      </c>
      <c r="G137" s="458">
        <v>8</v>
      </c>
      <c r="H137" s="25">
        <f>AppleData[[#This Row],[Selling Price]]*$F$11*AppleData[[#This Row],[Quantity]]</f>
        <v>27.032</v>
      </c>
    </row>
    <row r="138" spans="2:8" x14ac:dyDescent="0.45">
      <c r="B138" s="457">
        <v>43746</v>
      </c>
      <c r="C138" s="354" t="s">
        <v>2465</v>
      </c>
      <c r="D138" s="355" t="s">
        <v>2452</v>
      </c>
      <c r="E138" s="355" t="s">
        <v>2463</v>
      </c>
      <c r="F138" s="459">
        <v>79.989999999999995</v>
      </c>
      <c r="G138" s="458">
        <v>2</v>
      </c>
      <c r="H138" s="25">
        <f>AppleData[[#This Row],[Selling Price]]*$F$11*AppleData[[#This Row],[Quantity]]</f>
        <v>3.1995999999999998</v>
      </c>
    </row>
    <row r="139" spans="2:8" x14ac:dyDescent="0.45">
      <c r="B139" s="457">
        <v>43746</v>
      </c>
      <c r="C139" s="354" t="s">
        <v>2454</v>
      </c>
      <c r="D139" s="355" t="s">
        <v>2452</v>
      </c>
      <c r="E139" s="355" t="s">
        <v>2461</v>
      </c>
      <c r="F139" s="459">
        <v>340.95</v>
      </c>
      <c r="G139" s="458">
        <v>8</v>
      </c>
      <c r="H139" s="25">
        <f>AppleData[[#This Row],[Selling Price]]*$F$11*AppleData[[#This Row],[Quantity]]</f>
        <v>54.552</v>
      </c>
    </row>
    <row r="140" spans="2:8" x14ac:dyDescent="0.45">
      <c r="B140" s="457">
        <v>43746</v>
      </c>
      <c r="C140" s="354" t="s">
        <v>2459</v>
      </c>
      <c r="D140" s="355" t="s">
        <v>2464</v>
      </c>
      <c r="E140" s="355" t="s">
        <v>2453</v>
      </c>
      <c r="F140" s="459">
        <v>168.95</v>
      </c>
      <c r="G140" s="458">
        <v>9</v>
      </c>
      <c r="H140" s="25">
        <f>AppleData[[#This Row],[Selling Price]]*$F$11*AppleData[[#This Row],[Quantity]]</f>
        <v>30.411000000000001</v>
      </c>
    </row>
    <row r="141" spans="2:8" x14ac:dyDescent="0.45">
      <c r="B141" s="457">
        <v>43747</v>
      </c>
      <c r="C141" s="354" t="s">
        <v>2454</v>
      </c>
      <c r="D141" s="355" t="s">
        <v>2455</v>
      </c>
      <c r="E141" s="355" t="s">
        <v>2461</v>
      </c>
      <c r="F141" s="459">
        <v>340.95</v>
      </c>
      <c r="G141" s="458">
        <v>9</v>
      </c>
      <c r="H141" s="25">
        <f>AppleData[[#This Row],[Selling Price]]*$F$11*AppleData[[#This Row],[Quantity]]</f>
        <v>61.371000000000002</v>
      </c>
    </row>
    <row r="142" spans="2:8" x14ac:dyDescent="0.45">
      <c r="B142" s="457">
        <v>43747</v>
      </c>
      <c r="C142" s="354" t="s">
        <v>2454</v>
      </c>
      <c r="D142" s="355" t="s">
        <v>2464</v>
      </c>
      <c r="E142" s="355" t="s">
        <v>2456</v>
      </c>
      <c r="F142" s="459">
        <v>340.95</v>
      </c>
      <c r="G142" s="458">
        <v>4</v>
      </c>
      <c r="H142" s="25">
        <f>AppleData[[#This Row],[Selling Price]]*$F$11*AppleData[[#This Row],[Quantity]]</f>
        <v>27.276</v>
      </c>
    </row>
    <row r="143" spans="2:8" x14ac:dyDescent="0.45">
      <c r="B143" s="457">
        <v>43748</v>
      </c>
      <c r="C143" s="354" t="s">
        <v>2451</v>
      </c>
      <c r="D143" s="355" t="s">
        <v>2458</v>
      </c>
      <c r="E143" s="355" t="s">
        <v>2456</v>
      </c>
      <c r="F143" s="459">
        <v>340.95</v>
      </c>
      <c r="G143" s="458">
        <v>7</v>
      </c>
      <c r="H143" s="25">
        <f>AppleData[[#This Row],[Selling Price]]*$F$11*AppleData[[#This Row],[Quantity]]</f>
        <v>47.732999999999997</v>
      </c>
    </row>
    <row r="144" spans="2:8" x14ac:dyDescent="0.45">
      <c r="B144" s="457">
        <v>43750</v>
      </c>
      <c r="C144" s="354" t="s">
        <v>2462</v>
      </c>
      <c r="D144" s="355" t="s">
        <v>2449</v>
      </c>
      <c r="E144" s="355" t="s">
        <v>2450</v>
      </c>
      <c r="F144" s="459">
        <v>799.95</v>
      </c>
      <c r="G144" s="458">
        <v>2</v>
      </c>
      <c r="H144" s="25">
        <f>AppleData[[#This Row],[Selling Price]]*$F$11*AppleData[[#This Row],[Quantity]]</f>
        <v>31.998000000000001</v>
      </c>
    </row>
    <row r="145" spans="2:8" x14ac:dyDescent="0.45">
      <c r="B145" s="457">
        <v>43750</v>
      </c>
      <c r="C145" s="354" t="s">
        <v>2469</v>
      </c>
      <c r="D145" s="355" t="s">
        <v>2458</v>
      </c>
      <c r="E145" s="355" t="s">
        <v>2450</v>
      </c>
      <c r="F145" s="459">
        <v>799.95</v>
      </c>
      <c r="G145" s="458">
        <v>13</v>
      </c>
      <c r="H145" s="25">
        <f>AppleData[[#This Row],[Selling Price]]*$F$11*AppleData[[#This Row],[Quantity]]</f>
        <v>207.98699999999999</v>
      </c>
    </row>
    <row r="146" spans="2:8" x14ac:dyDescent="0.45">
      <c r="B146" s="457">
        <v>43751</v>
      </c>
      <c r="C146" s="354" t="s">
        <v>2448</v>
      </c>
      <c r="D146" s="355" t="s">
        <v>2452</v>
      </c>
      <c r="E146" s="355" t="s">
        <v>2450</v>
      </c>
      <c r="F146" s="459">
        <v>799.95</v>
      </c>
      <c r="G146" s="458">
        <v>1</v>
      </c>
      <c r="H146" s="25">
        <f>AppleData[[#This Row],[Selling Price]]*$F$11*AppleData[[#This Row],[Quantity]]</f>
        <v>15.999000000000001</v>
      </c>
    </row>
    <row r="147" spans="2:8" x14ac:dyDescent="0.45">
      <c r="B147" s="457">
        <v>43751</v>
      </c>
      <c r="C147" s="354" t="s">
        <v>2462</v>
      </c>
      <c r="D147" s="355" t="s">
        <v>2452</v>
      </c>
      <c r="E147" s="355" t="s">
        <v>2456</v>
      </c>
      <c r="F147" s="459">
        <v>340.95</v>
      </c>
      <c r="G147" s="458">
        <v>15</v>
      </c>
      <c r="H147" s="25">
        <f>AppleData[[#This Row],[Selling Price]]*$F$11*AppleData[[#This Row],[Quantity]]</f>
        <v>102.285</v>
      </c>
    </row>
    <row r="148" spans="2:8" x14ac:dyDescent="0.45">
      <c r="B148" s="457">
        <v>43753</v>
      </c>
      <c r="C148" s="354" t="s">
        <v>2467</v>
      </c>
      <c r="D148" s="355" t="s">
        <v>2464</v>
      </c>
      <c r="E148" s="355" t="s">
        <v>2450</v>
      </c>
      <c r="F148" s="459">
        <v>799.95</v>
      </c>
      <c r="G148" s="458">
        <v>3</v>
      </c>
      <c r="H148" s="25">
        <f>AppleData[[#This Row],[Selling Price]]*$F$11*AppleData[[#This Row],[Quantity]]</f>
        <v>47.997</v>
      </c>
    </row>
    <row r="149" spans="2:8" x14ac:dyDescent="0.45">
      <c r="B149" s="457">
        <v>43754</v>
      </c>
      <c r="C149" s="354" t="s">
        <v>2459</v>
      </c>
      <c r="D149" s="355" t="s">
        <v>2458</v>
      </c>
      <c r="E149" s="355" t="s">
        <v>2456</v>
      </c>
      <c r="F149" s="459">
        <v>340.95</v>
      </c>
      <c r="G149" s="458">
        <v>1</v>
      </c>
      <c r="H149" s="25">
        <f>AppleData[[#This Row],[Selling Price]]*$F$11*AppleData[[#This Row],[Quantity]]</f>
        <v>6.819</v>
      </c>
    </row>
    <row r="150" spans="2:8" x14ac:dyDescent="0.45">
      <c r="B150" s="457">
        <v>43754</v>
      </c>
      <c r="C150" s="354" t="s">
        <v>2457</v>
      </c>
      <c r="D150" s="355" t="s">
        <v>2464</v>
      </c>
      <c r="E150" s="355" t="s">
        <v>2456</v>
      </c>
      <c r="F150" s="459">
        <v>340.95</v>
      </c>
      <c r="G150" s="458">
        <v>11</v>
      </c>
      <c r="H150" s="25">
        <f>AppleData[[#This Row],[Selling Price]]*$F$11*AppleData[[#This Row],[Quantity]]</f>
        <v>75.009</v>
      </c>
    </row>
    <row r="151" spans="2:8" x14ac:dyDescent="0.45">
      <c r="B151" s="457">
        <v>43755</v>
      </c>
      <c r="C151" s="354" t="s">
        <v>2459</v>
      </c>
      <c r="D151" s="355" t="s">
        <v>2452</v>
      </c>
      <c r="E151" s="355" t="s">
        <v>2450</v>
      </c>
      <c r="F151" s="459">
        <v>799.95</v>
      </c>
      <c r="G151" s="458">
        <v>11</v>
      </c>
      <c r="H151" s="25">
        <f>AppleData[[#This Row],[Selling Price]]*$F$11*AppleData[[#This Row],[Quantity]]</f>
        <v>175.989</v>
      </c>
    </row>
    <row r="152" spans="2:8" x14ac:dyDescent="0.45">
      <c r="B152" s="457">
        <v>43755</v>
      </c>
      <c r="C152" s="354" t="s">
        <v>2465</v>
      </c>
      <c r="D152" s="355" t="s">
        <v>2464</v>
      </c>
      <c r="E152" s="355" t="s">
        <v>2456</v>
      </c>
      <c r="F152" s="459">
        <v>340.95</v>
      </c>
      <c r="G152" s="458">
        <v>13</v>
      </c>
      <c r="H152" s="25">
        <f>AppleData[[#This Row],[Selling Price]]*$F$11*AppleData[[#This Row],[Quantity]]</f>
        <v>88.647000000000006</v>
      </c>
    </row>
    <row r="153" spans="2:8" x14ac:dyDescent="0.45">
      <c r="B153" s="457">
        <v>43755</v>
      </c>
      <c r="C153" s="354" t="s">
        <v>2457</v>
      </c>
      <c r="D153" s="355" t="s">
        <v>2455</v>
      </c>
      <c r="E153" s="355" t="s">
        <v>2453</v>
      </c>
      <c r="F153" s="459">
        <v>168.95</v>
      </c>
      <c r="G153" s="458">
        <v>12</v>
      </c>
      <c r="H153" s="25">
        <f>AppleData[[#This Row],[Selling Price]]*$F$11*AppleData[[#This Row],[Quantity]]</f>
        <v>40.548000000000002</v>
      </c>
    </row>
    <row r="154" spans="2:8" x14ac:dyDescent="0.45">
      <c r="B154" s="457">
        <v>43755</v>
      </c>
      <c r="C154" s="354" t="s">
        <v>2462</v>
      </c>
      <c r="D154" s="355" t="s">
        <v>2455</v>
      </c>
      <c r="E154" s="355" t="s">
        <v>2461</v>
      </c>
      <c r="F154" s="459">
        <v>340.95</v>
      </c>
      <c r="G154" s="458">
        <v>9</v>
      </c>
      <c r="H154" s="25">
        <f>AppleData[[#This Row],[Selling Price]]*$F$11*AppleData[[#This Row],[Quantity]]</f>
        <v>61.371000000000002</v>
      </c>
    </row>
    <row r="155" spans="2:8" x14ac:dyDescent="0.45">
      <c r="B155" s="457">
        <v>43756</v>
      </c>
      <c r="C155" s="354" t="s">
        <v>2467</v>
      </c>
      <c r="D155" s="355" t="s">
        <v>2458</v>
      </c>
      <c r="E155" s="355" t="s">
        <v>2461</v>
      </c>
      <c r="F155" s="459">
        <v>340.95</v>
      </c>
      <c r="G155" s="458">
        <v>2</v>
      </c>
      <c r="H155" s="25">
        <f>AppleData[[#This Row],[Selling Price]]*$F$11*AppleData[[#This Row],[Quantity]]</f>
        <v>13.638</v>
      </c>
    </row>
    <row r="156" spans="2:8" x14ac:dyDescent="0.45">
      <c r="B156" s="457">
        <v>43756</v>
      </c>
      <c r="C156" s="354" t="s">
        <v>2467</v>
      </c>
      <c r="D156" s="355" t="s">
        <v>2464</v>
      </c>
      <c r="E156" s="355" t="s">
        <v>2463</v>
      </c>
      <c r="F156" s="459">
        <v>79.989999999999995</v>
      </c>
      <c r="G156" s="458">
        <v>5</v>
      </c>
      <c r="H156" s="25">
        <f>AppleData[[#This Row],[Selling Price]]*$F$11*AppleData[[#This Row],[Quantity]]</f>
        <v>7.9989999999999997</v>
      </c>
    </row>
    <row r="157" spans="2:8" x14ac:dyDescent="0.45">
      <c r="B157" s="457">
        <v>43756</v>
      </c>
      <c r="C157" s="354" t="s">
        <v>2465</v>
      </c>
      <c r="D157" s="355" t="s">
        <v>2449</v>
      </c>
      <c r="E157" s="355" t="s">
        <v>2453</v>
      </c>
      <c r="F157" s="459">
        <v>168.95</v>
      </c>
      <c r="G157" s="458">
        <v>2</v>
      </c>
      <c r="H157" s="25">
        <f>AppleData[[#This Row],[Selling Price]]*$F$11*AppleData[[#This Row],[Quantity]]</f>
        <v>6.758</v>
      </c>
    </row>
    <row r="158" spans="2:8" x14ac:dyDescent="0.45">
      <c r="B158" s="457">
        <v>43758</v>
      </c>
      <c r="C158" s="354" t="s">
        <v>2460</v>
      </c>
      <c r="D158" s="355" t="s">
        <v>2458</v>
      </c>
      <c r="E158" s="355" t="s">
        <v>2456</v>
      </c>
      <c r="F158" s="459">
        <v>340.95</v>
      </c>
      <c r="G158" s="458">
        <v>11</v>
      </c>
      <c r="H158" s="25">
        <f>AppleData[[#This Row],[Selling Price]]*$F$11*AppleData[[#This Row],[Quantity]]</f>
        <v>75.009</v>
      </c>
    </row>
    <row r="159" spans="2:8" x14ac:dyDescent="0.45">
      <c r="B159" s="457">
        <v>43758</v>
      </c>
      <c r="C159" s="354" t="s">
        <v>2454</v>
      </c>
      <c r="D159" s="355" t="s">
        <v>2464</v>
      </c>
      <c r="E159" s="355" t="s">
        <v>2450</v>
      </c>
      <c r="F159" s="459">
        <v>799.95</v>
      </c>
      <c r="G159" s="458">
        <v>10</v>
      </c>
      <c r="H159" s="25">
        <f>AppleData[[#This Row],[Selling Price]]*$F$11*AppleData[[#This Row],[Quantity]]</f>
        <v>159.99</v>
      </c>
    </row>
    <row r="160" spans="2:8" x14ac:dyDescent="0.45">
      <c r="B160" s="457">
        <v>43758</v>
      </c>
      <c r="C160" s="354" t="s">
        <v>2459</v>
      </c>
      <c r="D160" s="355" t="s">
        <v>2449</v>
      </c>
      <c r="E160" s="355" t="s">
        <v>2463</v>
      </c>
      <c r="F160" s="459">
        <v>79.989999999999995</v>
      </c>
      <c r="G160" s="458">
        <v>12</v>
      </c>
      <c r="H160" s="25">
        <f>AppleData[[#This Row],[Selling Price]]*$F$11*AppleData[[#This Row],[Quantity]]</f>
        <v>19.197599999999998</v>
      </c>
    </row>
    <row r="161" spans="2:8" x14ac:dyDescent="0.45">
      <c r="B161" s="457">
        <v>43759</v>
      </c>
      <c r="C161" s="354" t="s">
        <v>2457</v>
      </c>
      <c r="D161" s="355" t="s">
        <v>2458</v>
      </c>
      <c r="E161" s="355" t="s">
        <v>2450</v>
      </c>
      <c r="F161" s="459">
        <v>799.95</v>
      </c>
      <c r="G161" s="458">
        <v>4</v>
      </c>
      <c r="H161" s="25">
        <f>AppleData[[#This Row],[Selling Price]]*$F$11*AppleData[[#This Row],[Quantity]]</f>
        <v>63.996000000000002</v>
      </c>
    </row>
    <row r="162" spans="2:8" x14ac:dyDescent="0.45">
      <c r="B162" s="457">
        <v>43759</v>
      </c>
      <c r="C162" s="354" t="s">
        <v>2448</v>
      </c>
      <c r="D162" s="355" t="s">
        <v>2449</v>
      </c>
      <c r="E162" s="355" t="s">
        <v>2456</v>
      </c>
      <c r="F162" s="459">
        <v>340.95</v>
      </c>
      <c r="G162" s="458">
        <v>14</v>
      </c>
      <c r="H162" s="25">
        <f>AppleData[[#This Row],[Selling Price]]*$F$11*AppleData[[#This Row],[Quantity]]</f>
        <v>95.465999999999994</v>
      </c>
    </row>
    <row r="163" spans="2:8" x14ac:dyDescent="0.45">
      <c r="B163" s="457">
        <v>43760</v>
      </c>
      <c r="C163" s="354" t="s">
        <v>2465</v>
      </c>
      <c r="D163" s="355" t="s">
        <v>2449</v>
      </c>
      <c r="E163" s="355" t="s">
        <v>2450</v>
      </c>
      <c r="F163" s="459">
        <v>799.95</v>
      </c>
      <c r="G163" s="458">
        <v>19</v>
      </c>
      <c r="H163" s="25">
        <f>AppleData[[#This Row],[Selling Price]]*$F$11*AppleData[[#This Row],[Quantity]]</f>
        <v>303.98099999999999</v>
      </c>
    </row>
    <row r="164" spans="2:8" x14ac:dyDescent="0.45">
      <c r="B164" s="457">
        <v>43760</v>
      </c>
      <c r="C164" s="354" t="s">
        <v>2454</v>
      </c>
      <c r="D164" s="355" t="s">
        <v>2449</v>
      </c>
      <c r="E164" s="355" t="s">
        <v>2456</v>
      </c>
      <c r="F164" s="459">
        <v>340.95</v>
      </c>
      <c r="G164" s="458">
        <v>8</v>
      </c>
      <c r="H164" s="25">
        <f>AppleData[[#This Row],[Selling Price]]*$F$11*AppleData[[#This Row],[Quantity]]</f>
        <v>54.552</v>
      </c>
    </row>
    <row r="165" spans="2:8" x14ac:dyDescent="0.45">
      <c r="B165" s="457">
        <v>43761</v>
      </c>
      <c r="C165" s="354" t="s">
        <v>2457</v>
      </c>
      <c r="D165" s="355" t="s">
        <v>2458</v>
      </c>
      <c r="E165" s="355" t="s">
        <v>2450</v>
      </c>
      <c r="F165" s="459">
        <v>799.95</v>
      </c>
      <c r="G165" s="458">
        <v>17</v>
      </c>
      <c r="H165" s="25">
        <f>AppleData[[#This Row],[Selling Price]]*$F$11*AppleData[[#This Row],[Quantity]]</f>
        <v>271.983</v>
      </c>
    </row>
    <row r="166" spans="2:8" x14ac:dyDescent="0.45">
      <c r="B166" s="457">
        <v>43761</v>
      </c>
      <c r="C166" s="354" t="s">
        <v>2451</v>
      </c>
      <c r="D166" s="355" t="s">
        <v>2458</v>
      </c>
      <c r="E166" s="355" t="s">
        <v>2450</v>
      </c>
      <c r="F166" s="459">
        <v>799.95</v>
      </c>
      <c r="G166" s="458">
        <v>11</v>
      </c>
      <c r="H166" s="25">
        <f>AppleData[[#This Row],[Selling Price]]*$F$11*AppleData[[#This Row],[Quantity]]</f>
        <v>175.989</v>
      </c>
    </row>
    <row r="167" spans="2:8" x14ac:dyDescent="0.45">
      <c r="B167" s="457">
        <v>43761</v>
      </c>
      <c r="C167" s="354" t="s">
        <v>2457</v>
      </c>
      <c r="D167" s="355" t="s">
        <v>2464</v>
      </c>
      <c r="E167" s="355" t="s">
        <v>2456</v>
      </c>
      <c r="F167" s="459">
        <v>340.95</v>
      </c>
      <c r="G167" s="458">
        <v>6</v>
      </c>
      <c r="H167" s="25">
        <f>AppleData[[#This Row],[Selling Price]]*$F$11*AppleData[[#This Row],[Quantity]]</f>
        <v>40.914000000000001</v>
      </c>
    </row>
    <row r="168" spans="2:8" x14ac:dyDescent="0.45">
      <c r="B168" s="457">
        <v>43761</v>
      </c>
      <c r="C168" s="354" t="s">
        <v>2468</v>
      </c>
      <c r="D168" s="355" t="s">
        <v>2452</v>
      </c>
      <c r="E168" s="355" t="s">
        <v>2463</v>
      </c>
      <c r="F168" s="459">
        <v>79.989999999999995</v>
      </c>
      <c r="G168" s="458">
        <v>4</v>
      </c>
      <c r="H168" s="25">
        <f>AppleData[[#This Row],[Selling Price]]*$F$11*AppleData[[#This Row],[Quantity]]</f>
        <v>6.3991999999999996</v>
      </c>
    </row>
    <row r="169" spans="2:8" x14ac:dyDescent="0.45">
      <c r="B169" s="457">
        <v>43762</v>
      </c>
      <c r="C169" s="354" t="s">
        <v>2469</v>
      </c>
      <c r="D169" s="355" t="s">
        <v>2458</v>
      </c>
      <c r="E169" s="355" t="s">
        <v>2463</v>
      </c>
      <c r="F169" s="459">
        <v>79.989999999999995</v>
      </c>
      <c r="G169" s="458">
        <v>10</v>
      </c>
      <c r="H169" s="25">
        <f>AppleData[[#This Row],[Selling Price]]*$F$11*AppleData[[#This Row],[Quantity]]</f>
        <v>15.997999999999999</v>
      </c>
    </row>
    <row r="170" spans="2:8" x14ac:dyDescent="0.45">
      <c r="B170" s="457">
        <v>43762</v>
      </c>
      <c r="C170" s="354" t="s">
        <v>2467</v>
      </c>
      <c r="D170" s="355" t="s">
        <v>2452</v>
      </c>
      <c r="E170" s="355" t="s">
        <v>2456</v>
      </c>
      <c r="F170" s="459">
        <v>340.95</v>
      </c>
      <c r="G170" s="458">
        <v>15</v>
      </c>
      <c r="H170" s="25">
        <f>AppleData[[#This Row],[Selling Price]]*$F$11*AppleData[[#This Row],[Quantity]]</f>
        <v>102.285</v>
      </c>
    </row>
    <row r="171" spans="2:8" x14ac:dyDescent="0.45">
      <c r="B171" s="457">
        <v>43762</v>
      </c>
      <c r="C171" s="354" t="s">
        <v>2459</v>
      </c>
      <c r="D171" s="355" t="s">
        <v>2452</v>
      </c>
      <c r="E171" s="355" t="s">
        <v>2456</v>
      </c>
      <c r="F171" s="459">
        <v>340.95</v>
      </c>
      <c r="G171" s="458">
        <v>14</v>
      </c>
      <c r="H171" s="25">
        <f>AppleData[[#This Row],[Selling Price]]*$F$11*AppleData[[#This Row],[Quantity]]</f>
        <v>95.465999999999994</v>
      </c>
    </row>
    <row r="172" spans="2:8" x14ac:dyDescent="0.45">
      <c r="B172" s="457">
        <v>43762</v>
      </c>
      <c r="C172" s="354" t="s">
        <v>2454</v>
      </c>
      <c r="D172" s="355" t="s">
        <v>2464</v>
      </c>
      <c r="E172" s="355" t="s">
        <v>2453</v>
      </c>
      <c r="F172" s="459">
        <v>168.95</v>
      </c>
      <c r="G172" s="458">
        <v>11</v>
      </c>
      <c r="H172" s="25">
        <f>AppleData[[#This Row],[Selling Price]]*$F$11*AppleData[[#This Row],[Quantity]]</f>
        <v>37.168999999999997</v>
      </c>
    </row>
    <row r="173" spans="2:8" x14ac:dyDescent="0.45">
      <c r="B173" s="457">
        <v>43762</v>
      </c>
      <c r="C173" s="354" t="s">
        <v>2467</v>
      </c>
      <c r="D173" s="355" t="s">
        <v>2452</v>
      </c>
      <c r="E173" s="355" t="s">
        <v>2456</v>
      </c>
      <c r="F173" s="459">
        <v>340.95</v>
      </c>
      <c r="G173" s="458">
        <v>12</v>
      </c>
      <c r="H173" s="25">
        <f>AppleData[[#This Row],[Selling Price]]*$F$11*AppleData[[#This Row],[Quantity]]</f>
        <v>81.828000000000003</v>
      </c>
    </row>
    <row r="174" spans="2:8" x14ac:dyDescent="0.45">
      <c r="B174" s="457">
        <v>43763</v>
      </c>
      <c r="C174" s="354" t="s">
        <v>2454</v>
      </c>
      <c r="D174" s="355" t="s">
        <v>2455</v>
      </c>
      <c r="E174" s="355" t="s">
        <v>2453</v>
      </c>
      <c r="F174" s="459">
        <v>168.95</v>
      </c>
      <c r="G174" s="458">
        <v>8</v>
      </c>
      <c r="H174" s="25">
        <f>AppleData[[#This Row],[Selling Price]]*$F$11*AppleData[[#This Row],[Quantity]]</f>
        <v>27.032</v>
      </c>
    </row>
    <row r="175" spans="2:8" x14ac:dyDescent="0.45">
      <c r="B175" s="457">
        <v>43763</v>
      </c>
      <c r="C175" s="354" t="s">
        <v>2465</v>
      </c>
      <c r="D175" s="355" t="s">
        <v>2458</v>
      </c>
      <c r="E175" s="355" t="s">
        <v>2461</v>
      </c>
      <c r="F175" s="459">
        <v>340.95</v>
      </c>
      <c r="G175" s="458">
        <v>5</v>
      </c>
      <c r="H175" s="25">
        <f>AppleData[[#This Row],[Selling Price]]*$F$11*AppleData[[#This Row],[Quantity]]</f>
        <v>34.094999999999999</v>
      </c>
    </row>
    <row r="176" spans="2:8" x14ac:dyDescent="0.45">
      <c r="B176" s="457">
        <v>43763</v>
      </c>
      <c r="C176" s="354" t="s">
        <v>2459</v>
      </c>
      <c r="D176" s="355" t="s">
        <v>2464</v>
      </c>
      <c r="E176" s="355" t="s">
        <v>2461</v>
      </c>
      <c r="F176" s="459">
        <v>340.95</v>
      </c>
      <c r="G176" s="458">
        <v>17</v>
      </c>
      <c r="H176" s="25">
        <f>AppleData[[#This Row],[Selling Price]]*$F$11*AppleData[[#This Row],[Quantity]]</f>
        <v>115.923</v>
      </c>
    </row>
    <row r="177" spans="2:8" x14ac:dyDescent="0.45">
      <c r="B177" s="457">
        <v>43764</v>
      </c>
      <c r="C177" s="354" t="s">
        <v>2469</v>
      </c>
      <c r="D177" s="355" t="s">
        <v>2455</v>
      </c>
      <c r="E177" s="355" t="s">
        <v>2456</v>
      </c>
      <c r="F177" s="459">
        <v>340.95</v>
      </c>
      <c r="G177" s="458">
        <v>15</v>
      </c>
      <c r="H177" s="25">
        <f>AppleData[[#This Row],[Selling Price]]*$F$11*AppleData[[#This Row],[Quantity]]</f>
        <v>102.285</v>
      </c>
    </row>
    <row r="178" spans="2:8" x14ac:dyDescent="0.45">
      <c r="B178" s="457">
        <v>43765</v>
      </c>
      <c r="C178" s="354" t="s">
        <v>2448</v>
      </c>
      <c r="D178" s="355" t="s">
        <v>2455</v>
      </c>
      <c r="E178" s="355" t="s">
        <v>2461</v>
      </c>
      <c r="F178" s="459">
        <v>340.95</v>
      </c>
      <c r="G178" s="458">
        <v>17</v>
      </c>
      <c r="H178" s="25">
        <f>AppleData[[#This Row],[Selling Price]]*$F$11*AppleData[[#This Row],[Quantity]]</f>
        <v>115.923</v>
      </c>
    </row>
    <row r="179" spans="2:8" x14ac:dyDescent="0.45">
      <c r="B179" s="457">
        <v>43765</v>
      </c>
      <c r="C179" s="354" t="s">
        <v>2460</v>
      </c>
      <c r="D179" s="355" t="s">
        <v>2452</v>
      </c>
      <c r="E179" s="355" t="s">
        <v>2450</v>
      </c>
      <c r="F179" s="459">
        <v>799.95</v>
      </c>
      <c r="G179" s="458">
        <v>4</v>
      </c>
      <c r="H179" s="25">
        <f>AppleData[[#This Row],[Selling Price]]*$F$11*AppleData[[#This Row],[Quantity]]</f>
        <v>63.996000000000002</v>
      </c>
    </row>
    <row r="180" spans="2:8" x14ac:dyDescent="0.45">
      <c r="B180" s="457">
        <v>43765</v>
      </c>
      <c r="C180" s="354" t="s">
        <v>2460</v>
      </c>
      <c r="D180" s="355" t="s">
        <v>2455</v>
      </c>
      <c r="E180" s="355" t="s">
        <v>2456</v>
      </c>
      <c r="F180" s="459">
        <v>340.95</v>
      </c>
      <c r="G180" s="458">
        <v>2</v>
      </c>
      <c r="H180" s="25">
        <f>AppleData[[#This Row],[Selling Price]]*$F$11*AppleData[[#This Row],[Quantity]]</f>
        <v>13.638</v>
      </c>
    </row>
    <row r="181" spans="2:8" x14ac:dyDescent="0.45">
      <c r="B181" s="457">
        <v>43765</v>
      </c>
      <c r="C181" s="354" t="s">
        <v>2451</v>
      </c>
      <c r="D181" s="355" t="s">
        <v>2458</v>
      </c>
      <c r="E181" s="355" t="s">
        <v>2453</v>
      </c>
      <c r="F181" s="459">
        <v>168.95</v>
      </c>
      <c r="G181" s="458">
        <v>11</v>
      </c>
      <c r="H181" s="25">
        <f>AppleData[[#This Row],[Selling Price]]*$F$11*AppleData[[#This Row],[Quantity]]</f>
        <v>37.168999999999997</v>
      </c>
    </row>
    <row r="182" spans="2:8" x14ac:dyDescent="0.45">
      <c r="B182" s="457">
        <v>43765</v>
      </c>
      <c r="C182" s="354" t="s">
        <v>2462</v>
      </c>
      <c r="D182" s="355" t="s">
        <v>2455</v>
      </c>
      <c r="E182" s="355" t="s">
        <v>2463</v>
      </c>
      <c r="F182" s="459">
        <v>79.989999999999995</v>
      </c>
      <c r="G182" s="458">
        <v>19</v>
      </c>
      <c r="H182" s="25">
        <f>AppleData[[#This Row],[Selling Price]]*$F$11*AppleData[[#This Row],[Quantity]]</f>
        <v>30.396199999999997</v>
      </c>
    </row>
    <row r="183" spans="2:8" x14ac:dyDescent="0.45">
      <c r="B183" s="457">
        <v>43766</v>
      </c>
      <c r="C183" s="354" t="s">
        <v>2462</v>
      </c>
      <c r="D183" s="355" t="s">
        <v>2455</v>
      </c>
      <c r="E183" s="355" t="s">
        <v>2456</v>
      </c>
      <c r="F183" s="459">
        <v>340.95</v>
      </c>
      <c r="G183" s="458">
        <v>8</v>
      </c>
      <c r="H183" s="25">
        <f>AppleData[[#This Row],[Selling Price]]*$F$11*AppleData[[#This Row],[Quantity]]</f>
        <v>54.552</v>
      </c>
    </row>
    <row r="184" spans="2:8" x14ac:dyDescent="0.45">
      <c r="B184" s="457">
        <v>43766</v>
      </c>
      <c r="C184" s="354" t="s">
        <v>2454</v>
      </c>
      <c r="D184" s="355" t="s">
        <v>2452</v>
      </c>
      <c r="E184" s="355" t="s">
        <v>2463</v>
      </c>
      <c r="F184" s="459">
        <v>79.989999999999995</v>
      </c>
      <c r="G184" s="458">
        <v>20</v>
      </c>
      <c r="H184" s="25">
        <f>AppleData[[#This Row],[Selling Price]]*$F$11*AppleData[[#This Row],[Quantity]]</f>
        <v>31.995999999999999</v>
      </c>
    </row>
    <row r="185" spans="2:8" x14ac:dyDescent="0.45">
      <c r="B185" s="457">
        <v>43766</v>
      </c>
      <c r="C185" s="354" t="s">
        <v>2465</v>
      </c>
      <c r="D185" s="355" t="s">
        <v>2458</v>
      </c>
      <c r="E185" s="355" t="s">
        <v>2463</v>
      </c>
      <c r="F185" s="459">
        <v>79.989999999999995</v>
      </c>
      <c r="G185" s="458">
        <v>4</v>
      </c>
      <c r="H185" s="25">
        <f>AppleData[[#This Row],[Selling Price]]*$F$11*AppleData[[#This Row],[Quantity]]</f>
        <v>6.3991999999999996</v>
      </c>
    </row>
    <row r="186" spans="2:8" x14ac:dyDescent="0.45">
      <c r="B186" s="457">
        <v>43766</v>
      </c>
      <c r="C186" s="354" t="s">
        <v>2459</v>
      </c>
      <c r="D186" s="355" t="s">
        <v>2455</v>
      </c>
      <c r="E186" s="355" t="s">
        <v>2453</v>
      </c>
      <c r="F186" s="459">
        <v>168.95</v>
      </c>
      <c r="G186" s="458">
        <v>2</v>
      </c>
      <c r="H186" s="25">
        <f>AppleData[[#This Row],[Selling Price]]*$F$11*AppleData[[#This Row],[Quantity]]</f>
        <v>6.758</v>
      </c>
    </row>
    <row r="187" spans="2:8" x14ac:dyDescent="0.45">
      <c r="B187" s="457">
        <v>43766</v>
      </c>
      <c r="C187" s="354" t="s">
        <v>2465</v>
      </c>
      <c r="D187" s="355" t="s">
        <v>2449</v>
      </c>
      <c r="E187" s="355" t="s">
        <v>2456</v>
      </c>
      <c r="F187" s="459">
        <v>340.95</v>
      </c>
      <c r="G187" s="458">
        <v>14</v>
      </c>
      <c r="H187" s="25">
        <f>AppleData[[#This Row],[Selling Price]]*$F$11*AppleData[[#This Row],[Quantity]]</f>
        <v>95.465999999999994</v>
      </c>
    </row>
    <row r="188" spans="2:8" x14ac:dyDescent="0.45">
      <c r="B188" s="457">
        <v>43767</v>
      </c>
      <c r="C188" s="354" t="s">
        <v>2467</v>
      </c>
      <c r="D188" s="355" t="s">
        <v>2452</v>
      </c>
      <c r="E188" s="355" t="s">
        <v>2453</v>
      </c>
      <c r="F188" s="459">
        <v>168.95</v>
      </c>
      <c r="G188" s="458">
        <v>11</v>
      </c>
      <c r="H188" s="25">
        <f>AppleData[[#This Row],[Selling Price]]*$F$11*AppleData[[#This Row],[Quantity]]</f>
        <v>37.168999999999997</v>
      </c>
    </row>
    <row r="189" spans="2:8" x14ac:dyDescent="0.45">
      <c r="B189" s="457">
        <v>43767</v>
      </c>
      <c r="C189" s="354" t="s">
        <v>2459</v>
      </c>
      <c r="D189" s="355" t="s">
        <v>2455</v>
      </c>
      <c r="E189" s="355" t="s">
        <v>2463</v>
      </c>
      <c r="F189" s="459">
        <v>79.989999999999995</v>
      </c>
      <c r="G189" s="458">
        <v>12</v>
      </c>
      <c r="H189" s="25">
        <f>AppleData[[#This Row],[Selling Price]]*$F$11*AppleData[[#This Row],[Quantity]]</f>
        <v>19.197599999999998</v>
      </c>
    </row>
    <row r="190" spans="2:8" x14ac:dyDescent="0.45">
      <c r="B190" s="457">
        <v>43768</v>
      </c>
      <c r="C190" s="354" t="s">
        <v>2462</v>
      </c>
      <c r="D190" s="355" t="s">
        <v>2452</v>
      </c>
      <c r="E190" s="355" t="s">
        <v>2450</v>
      </c>
      <c r="F190" s="459">
        <v>799.95</v>
      </c>
      <c r="G190" s="458">
        <v>18</v>
      </c>
      <c r="H190" s="25">
        <f>AppleData[[#This Row],[Selling Price]]*$F$11*AppleData[[#This Row],[Quantity]]</f>
        <v>287.98200000000003</v>
      </c>
    </row>
    <row r="191" spans="2:8" x14ac:dyDescent="0.45">
      <c r="B191" s="457">
        <v>43768</v>
      </c>
      <c r="C191" s="354" t="s">
        <v>2457</v>
      </c>
      <c r="D191" s="355" t="s">
        <v>2449</v>
      </c>
      <c r="E191" s="355" t="s">
        <v>2453</v>
      </c>
      <c r="F191" s="459">
        <v>168.95</v>
      </c>
      <c r="G191" s="458">
        <v>12</v>
      </c>
      <c r="H191" s="25">
        <f>AppleData[[#This Row],[Selling Price]]*$F$11*AppleData[[#This Row],[Quantity]]</f>
        <v>40.548000000000002</v>
      </c>
    </row>
    <row r="192" spans="2:8" x14ac:dyDescent="0.45">
      <c r="B192" s="457">
        <v>43769</v>
      </c>
      <c r="C192" s="354" t="s">
        <v>2467</v>
      </c>
      <c r="D192" s="355" t="s">
        <v>2455</v>
      </c>
      <c r="E192" s="355" t="s">
        <v>2463</v>
      </c>
      <c r="F192" s="459">
        <v>79.989999999999995</v>
      </c>
      <c r="G192" s="458">
        <v>14</v>
      </c>
      <c r="H192" s="25">
        <f>AppleData[[#This Row],[Selling Price]]*$F$11*AppleData[[#This Row],[Quantity]]</f>
        <v>22.397199999999998</v>
      </c>
    </row>
    <row r="193" spans="2:8" x14ac:dyDescent="0.45">
      <c r="B193" s="457">
        <v>43769</v>
      </c>
      <c r="C193" s="354" t="s">
        <v>2459</v>
      </c>
      <c r="D193" s="355" t="s">
        <v>2455</v>
      </c>
      <c r="E193" s="355" t="s">
        <v>2450</v>
      </c>
      <c r="F193" s="459">
        <v>799.95</v>
      </c>
      <c r="G193" s="458">
        <v>1</v>
      </c>
      <c r="H193" s="25">
        <f>AppleData[[#This Row],[Selling Price]]*$F$11*AppleData[[#This Row],[Quantity]]</f>
        <v>15.999000000000001</v>
      </c>
    </row>
    <row r="194" spans="2:8" x14ac:dyDescent="0.45">
      <c r="B194" s="457">
        <v>43770</v>
      </c>
      <c r="C194" s="354" t="s">
        <v>2460</v>
      </c>
      <c r="D194" s="355" t="s">
        <v>2449</v>
      </c>
      <c r="E194" s="355" t="s">
        <v>2456</v>
      </c>
      <c r="F194" s="459">
        <v>340.95</v>
      </c>
      <c r="G194" s="458">
        <v>3</v>
      </c>
      <c r="H194" s="25">
        <f>AppleData[[#This Row],[Selling Price]]*$F$11*AppleData[[#This Row],[Quantity]]</f>
        <v>20.457000000000001</v>
      </c>
    </row>
    <row r="195" spans="2:8" x14ac:dyDescent="0.45">
      <c r="B195" s="457">
        <v>43770</v>
      </c>
      <c r="C195" s="354" t="s">
        <v>2454</v>
      </c>
      <c r="D195" s="355" t="s">
        <v>2449</v>
      </c>
      <c r="E195" s="355" t="s">
        <v>2450</v>
      </c>
      <c r="F195" s="459">
        <v>799.95</v>
      </c>
      <c r="G195" s="458">
        <v>19</v>
      </c>
      <c r="H195" s="25">
        <f>AppleData[[#This Row],[Selling Price]]*$F$11*AppleData[[#This Row],[Quantity]]</f>
        <v>303.98099999999999</v>
      </c>
    </row>
    <row r="196" spans="2:8" x14ac:dyDescent="0.45">
      <c r="B196" s="457">
        <v>43773</v>
      </c>
      <c r="C196" s="354" t="s">
        <v>2465</v>
      </c>
      <c r="D196" s="355" t="s">
        <v>2449</v>
      </c>
      <c r="E196" s="355" t="s">
        <v>2461</v>
      </c>
      <c r="F196" s="459">
        <v>340.95</v>
      </c>
      <c r="G196" s="458">
        <v>9</v>
      </c>
      <c r="H196" s="25">
        <f>AppleData[[#This Row],[Selling Price]]*$F$11*AppleData[[#This Row],[Quantity]]</f>
        <v>61.371000000000002</v>
      </c>
    </row>
    <row r="197" spans="2:8" x14ac:dyDescent="0.45">
      <c r="B197" s="457">
        <v>43773</v>
      </c>
      <c r="C197" s="354" t="s">
        <v>2451</v>
      </c>
      <c r="D197" s="355" t="s">
        <v>2464</v>
      </c>
      <c r="E197" s="355" t="s">
        <v>2453</v>
      </c>
      <c r="F197" s="459">
        <v>168.95</v>
      </c>
      <c r="G197" s="458">
        <v>7</v>
      </c>
      <c r="H197" s="25">
        <f>AppleData[[#This Row],[Selling Price]]*$F$11*AppleData[[#This Row],[Quantity]]</f>
        <v>23.652999999999999</v>
      </c>
    </row>
    <row r="198" spans="2:8" x14ac:dyDescent="0.45">
      <c r="B198" s="457">
        <v>43773</v>
      </c>
      <c r="C198" s="354" t="s">
        <v>2457</v>
      </c>
      <c r="D198" s="355" t="s">
        <v>2455</v>
      </c>
      <c r="E198" s="355" t="s">
        <v>2450</v>
      </c>
      <c r="F198" s="459">
        <v>799.95</v>
      </c>
      <c r="G198" s="458">
        <v>5</v>
      </c>
      <c r="H198" s="25">
        <f>AppleData[[#This Row],[Selling Price]]*$F$11*AppleData[[#This Row],[Quantity]]</f>
        <v>79.995000000000005</v>
      </c>
    </row>
    <row r="199" spans="2:8" x14ac:dyDescent="0.45">
      <c r="B199" s="457">
        <v>43773</v>
      </c>
      <c r="C199" s="354" t="s">
        <v>2462</v>
      </c>
      <c r="D199" s="355" t="s">
        <v>2464</v>
      </c>
      <c r="E199" s="355" t="s">
        <v>2456</v>
      </c>
      <c r="F199" s="459">
        <v>340.95</v>
      </c>
      <c r="G199" s="458">
        <v>7</v>
      </c>
      <c r="H199" s="25">
        <f>AppleData[[#This Row],[Selling Price]]*$F$11*AppleData[[#This Row],[Quantity]]</f>
        <v>47.732999999999997</v>
      </c>
    </row>
    <row r="200" spans="2:8" x14ac:dyDescent="0.45">
      <c r="B200" s="457">
        <v>43773</v>
      </c>
      <c r="C200" s="354" t="s">
        <v>2457</v>
      </c>
      <c r="D200" s="355" t="s">
        <v>2452</v>
      </c>
      <c r="E200" s="355" t="s">
        <v>2463</v>
      </c>
      <c r="F200" s="459">
        <v>79.989999999999995</v>
      </c>
      <c r="G200" s="458">
        <v>7</v>
      </c>
      <c r="H200" s="25">
        <f>AppleData[[#This Row],[Selling Price]]*$F$11*AppleData[[#This Row],[Quantity]]</f>
        <v>11.198599999999999</v>
      </c>
    </row>
    <row r="201" spans="2:8" x14ac:dyDescent="0.45">
      <c r="B201" s="457">
        <v>43774</v>
      </c>
      <c r="C201" s="354" t="s">
        <v>2467</v>
      </c>
      <c r="D201" s="355" t="s">
        <v>2452</v>
      </c>
      <c r="E201" s="355" t="s">
        <v>2463</v>
      </c>
      <c r="F201" s="459">
        <v>79.989999999999995</v>
      </c>
      <c r="G201" s="458">
        <v>12</v>
      </c>
      <c r="H201" s="25">
        <f>AppleData[[#This Row],[Selling Price]]*$F$11*AppleData[[#This Row],[Quantity]]</f>
        <v>19.197599999999998</v>
      </c>
    </row>
    <row r="202" spans="2:8" x14ac:dyDescent="0.45">
      <c r="B202" s="457">
        <v>43774</v>
      </c>
      <c r="C202" s="354" t="s">
        <v>2460</v>
      </c>
      <c r="D202" s="355" t="s">
        <v>2455</v>
      </c>
      <c r="E202" s="355" t="s">
        <v>2456</v>
      </c>
      <c r="F202" s="459">
        <v>340.95</v>
      </c>
      <c r="G202" s="458">
        <v>12</v>
      </c>
      <c r="H202" s="25">
        <f>AppleData[[#This Row],[Selling Price]]*$F$11*AppleData[[#This Row],[Quantity]]</f>
        <v>81.828000000000003</v>
      </c>
    </row>
    <row r="203" spans="2:8" x14ac:dyDescent="0.45">
      <c r="B203" s="457">
        <v>43774</v>
      </c>
      <c r="C203" s="354" t="s">
        <v>2451</v>
      </c>
      <c r="D203" s="355" t="s">
        <v>2455</v>
      </c>
      <c r="E203" s="355" t="s">
        <v>2450</v>
      </c>
      <c r="F203" s="459">
        <v>799.95</v>
      </c>
      <c r="G203" s="458">
        <v>6</v>
      </c>
      <c r="H203" s="25">
        <f>AppleData[[#This Row],[Selling Price]]*$F$11*AppleData[[#This Row],[Quantity]]</f>
        <v>95.994</v>
      </c>
    </row>
    <row r="204" spans="2:8" x14ac:dyDescent="0.45">
      <c r="B204" s="457">
        <v>43774</v>
      </c>
      <c r="C204" s="354" t="s">
        <v>2462</v>
      </c>
      <c r="D204" s="355" t="s">
        <v>2455</v>
      </c>
      <c r="E204" s="355" t="s">
        <v>2456</v>
      </c>
      <c r="F204" s="459">
        <v>340.95</v>
      </c>
      <c r="G204" s="458">
        <v>6</v>
      </c>
      <c r="H204" s="25">
        <f>AppleData[[#This Row],[Selling Price]]*$F$11*AppleData[[#This Row],[Quantity]]</f>
        <v>40.914000000000001</v>
      </c>
    </row>
    <row r="205" spans="2:8" x14ac:dyDescent="0.45">
      <c r="B205" s="457">
        <v>43775</v>
      </c>
      <c r="C205" s="354" t="s">
        <v>2462</v>
      </c>
      <c r="D205" s="355" t="s">
        <v>2449</v>
      </c>
      <c r="E205" s="355" t="s">
        <v>2461</v>
      </c>
      <c r="F205" s="459">
        <v>340.95</v>
      </c>
      <c r="G205" s="458">
        <v>11</v>
      </c>
      <c r="H205" s="25">
        <f>AppleData[[#This Row],[Selling Price]]*$F$11*AppleData[[#This Row],[Quantity]]</f>
        <v>75.009</v>
      </c>
    </row>
    <row r="206" spans="2:8" x14ac:dyDescent="0.45">
      <c r="B206" s="457">
        <v>43775</v>
      </c>
      <c r="C206" s="354" t="s">
        <v>2454</v>
      </c>
      <c r="D206" s="355" t="s">
        <v>2449</v>
      </c>
      <c r="E206" s="355" t="s">
        <v>2461</v>
      </c>
      <c r="F206" s="459">
        <v>340.95</v>
      </c>
      <c r="G206" s="458">
        <v>2</v>
      </c>
      <c r="H206" s="25">
        <f>AppleData[[#This Row],[Selling Price]]*$F$11*AppleData[[#This Row],[Quantity]]</f>
        <v>13.638</v>
      </c>
    </row>
    <row r="207" spans="2:8" x14ac:dyDescent="0.45">
      <c r="B207" s="457">
        <v>43777</v>
      </c>
      <c r="C207" s="354" t="s">
        <v>2454</v>
      </c>
      <c r="D207" s="355" t="s">
        <v>2452</v>
      </c>
      <c r="E207" s="355" t="s">
        <v>2456</v>
      </c>
      <c r="F207" s="459">
        <v>340.95</v>
      </c>
      <c r="G207" s="458">
        <v>5</v>
      </c>
      <c r="H207" s="25">
        <f>AppleData[[#This Row],[Selling Price]]*$F$11*AppleData[[#This Row],[Quantity]]</f>
        <v>34.094999999999999</v>
      </c>
    </row>
    <row r="208" spans="2:8" x14ac:dyDescent="0.45">
      <c r="B208" s="457">
        <v>43777</v>
      </c>
      <c r="C208" s="354" t="s">
        <v>2467</v>
      </c>
      <c r="D208" s="355" t="s">
        <v>2455</v>
      </c>
      <c r="E208" s="355" t="s">
        <v>2456</v>
      </c>
      <c r="F208" s="459">
        <v>340.95</v>
      </c>
      <c r="G208" s="458">
        <v>8</v>
      </c>
      <c r="H208" s="25">
        <f>AppleData[[#This Row],[Selling Price]]*$F$11*AppleData[[#This Row],[Quantity]]</f>
        <v>54.552</v>
      </c>
    </row>
    <row r="209" spans="2:8" x14ac:dyDescent="0.45">
      <c r="B209" s="457">
        <v>43778</v>
      </c>
      <c r="C209" s="354" t="s">
        <v>2448</v>
      </c>
      <c r="D209" s="355" t="s">
        <v>2464</v>
      </c>
      <c r="E209" s="355" t="s">
        <v>2453</v>
      </c>
      <c r="F209" s="459">
        <v>168.95</v>
      </c>
      <c r="G209" s="458">
        <v>9</v>
      </c>
      <c r="H209" s="25">
        <f>AppleData[[#This Row],[Selling Price]]*$F$11*AppleData[[#This Row],[Quantity]]</f>
        <v>30.411000000000001</v>
      </c>
    </row>
    <row r="210" spans="2:8" x14ac:dyDescent="0.45">
      <c r="B210" s="457">
        <v>43778</v>
      </c>
      <c r="C210" s="354" t="s">
        <v>2467</v>
      </c>
      <c r="D210" s="355" t="s">
        <v>2452</v>
      </c>
      <c r="E210" s="355" t="s">
        <v>2456</v>
      </c>
      <c r="F210" s="459">
        <v>340.95</v>
      </c>
      <c r="G210" s="458">
        <v>9</v>
      </c>
      <c r="H210" s="25">
        <f>AppleData[[#This Row],[Selling Price]]*$F$11*AppleData[[#This Row],[Quantity]]</f>
        <v>61.371000000000002</v>
      </c>
    </row>
    <row r="211" spans="2:8" x14ac:dyDescent="0.45">
      <c r="B211" s="457">
        <v>43778</v>
      </c>
      <c r="C211" s="354" t="s">
        <v>2467</v>
      </c>
      <c r="D211" s="355" t="s">
        <v>2458</v>
      </c>
      <c r="E211" s="355" t="s">
        <v>2450</v>
      </c>
      <c r="F211" s="459">
        <v>799.95</v>
      </c>
      <c r="G211" s="458">
        <v>7</v>
      </c>
      <c r="H211" s="25">
        <f>AppleData[[#This Row],[Selling Price]]*$F$11*AppleData[[#This Row],[Quantity]]</f>
        <v>111.99300000000001</v>
      </c>
    </row>
    <row r="212" spans="2:8" x14ac:dyDescent="0.45">
      <c r="B212" s="457">
        <v>43778</v>
      </c>
      <c r="C212" s="354" t="s">
        <v>2459</v>
      </c>
      <c r="D212" s="355" t="s">
        <v>2452</v>
      </c>
      <c r="E212" s="355" t="s">
        <v>2450</v>
      </c>
      <c r="F212" s="459">
        <v>799.95</v>
      </c>
      <c r="G212" s="458">
        <v>3</v>
      </c>
      <c r="H212" s="25">
        <f>AppleData[[#This Row],[Selling Price]]*$F$11*AppleData[[#This Row],[Quantity]]</f>
        <v>47.997</v>
      </c>
    </row>
    <row r="213" spans="2:8" x14ac:dyDescent="0.45">
      <c r="B213" s="457">
        <v>43779</v>
      </c>
      <c r="C213" s="354" t="s">
        <v>2462</v>
      </c>
      <c r="D213" s="355" t="s">
        <v>2452</v>
      </c>
      <c r="E213" s="355" t="s">
        <v>2461</v>
      </c>
      <c r="F213" s="459">
        <v>340.95</v>
      </c>
      <c r="G213" s="458">
        <v>3</v>
      </c>
      <c r="H213" s="25">
        <f>AppleData[[#This Row],[Selling Price]]*$F$11*AppleData[[#This Row],[Quantity]]</f>
        <v>20.457000000000001</v>
      </c>
    </row>
    <row r="214" spans="2:8" x14ac:dyDescent="0.45">
      <c r="B214" s="457">
        <v>43780</v>
      </c>
      <c r="C214" s="354" t="s">
        <v>2457</v>
      </c>
      <c r="D214" s="355" t="s">
        <v>2452</v>
      </c>
      <c r="E214" s="355" t="s">
        <v>2450</v>
      </c>
      <c r="F214" s="459">
        <v>799.95</v>
      </c>
      <c r="G214" s="458">
        <v>4</v>
      </c>
      <c r="H214" s="25">
        <f>AppleData[[#This Row],[Selling Price]]*$F$11*AppleData[[#This Row],[Quantity]]</f>
        <v>63.996000000000002</v>
      </c>
    </row>
    <row r="215" spans="2:8" x14ac:dyDescent="0.45">
      <c r="B215" s="457">
        <v>43780</v>
      </c>
      <c r="C215" s="354" t="s">
        <v>2465</v>
      </c>
      <c r="D215" s="355" t="s">
        <v>2455</v>
      </c>
      <c r="E215" s="355" t="s">
        <v>2450</v>
      </c>
      <c r="F215" s="459">
        <v>799.95</v>
      </c>
      <c r="G215" s="458">
        <v>6</v>
      </c>
      <c r="H215" s="25">
        <f>AppleData[[#This Row],[Selling Price]]*$F$11*AppleData[[#This Row],[Quantity]]</f>
        <v>95.994</v>
      </c>
    </row>
    <row r="216" spans="2:8" x14ac:dyDescent="0.45">
      <c r="B216" s="457">
        <v>43781</v>
      </c>
      <c r="C216" s="354" t="s">
        <v>2457</v>
      </c>
      <c r="D216" s="355" t="s">
        <v>2452</v>
      </c>
      <c r="E216" s="355" t="s">
        <v>2453</v>
      </c>
      <c r="F216" s="459">
        <v>168.95</v>
      </c>
      <c r="G216" s="458">
        <v>1</v>
      </c>
      <c r="H216" s="25">
        <f>AppleData[[#This Row],[Selling Price]]*$F$11*AppleData[[#This Row],[Quantity]]</f>
        <v>3.379</v>
      </c>
    </row>
    <row r="217" spans="2:8" x14ac:dyDescent="0.45">
      <c r="B217" s="457">
        <v>43781</v>
      </c>
      <c r="C217" s="354" t="s">
        <v>2462</v>
      </c>
      <c r="D217" s="355" t="s">
        <v>2455</v>
      </c>
      <c r="E217" s="355" t="s">
        <v>2456</v>
      </c>
      <c r="F217" s="459">
        <v>340.95</v>
      </c>
      <c r="G217" s="458">
        <v>13</v>
      </c>
      <c r="H217" s="25">
        <f>AppleData[[#This Row],[Selling Price]]*$F$11*AppleData[[#This Row],[Quantity]]</f>
        <v>88.647000000000006</v>
      </c>
    </row>
    <row r="218" spans="2:8" x14ac:dyDescent="0.45">
      <c r="B218" s="457">
        <v>43782</v>
      </c>
      <c r="C218" s="354" t="s">
        <v>2448</v>
      </c>
      <c r="D218" s="355" t="s">
        <v>2449</v>
      </c>
      <c r="E218" s="355" t="s">
        <v>2450</v>
      </c>
      <c r="F218" s="459">
        <v>799.95</v>
      </c>
      <c r="G218" s="458">
        <v>14</v>
      </c>
      <c r="H218" s="25">
        <f>AppleData[[#This Row],[Selling Price]]*$F$11*AppleData[[#This Row],[Quantity]]</f>
        <v>223.98600000000002</v>
      </c>
    </row>
    <row r="219" spans="2:8" x14ac:dyDescent="0.45">
      <c r="B219" s="457">
        <v>43782</v>
      </c>
      <c r="C219" s="354" t="s">
        <v>2460</v>
      </c>
      <c r="D219" s="355" t="s">
        <v>2464</v>
      </c>
      <c r="E219" s="355" t="s">
        <v>2463</v>
      </c>
      <c r="F219" s="459">
        <v>79.989999999999995</v>
      </c>
      <c r="G219" s="458">
        <v>12</v>
      </c>
      <c r="H219" s="25">
        <f>AppleData[[#This Row],[Selling Price]]*$F$11*AppleData[[#This Row],[Quantity]]</f>
        <v>19.197599999999998</v>
      </c>
    </row>
    <row r="220" spans="2:8" x14ac:dyDescent="0.45">
      <c r="B220" s="457">
        <v>43783</v>
      </c>
      <c r="C220" s="354" t="s">
        <v>2460</v>
      </c>
      <c r="D220" s="355" t="s">
        <v>2455</v>
      </c>
      <c r="E220" s="355" t="s">
        <v>2463</v>
      </c>
      <c r="F220" s="459">
        <v>79.989999999999995</v>
      </c>
      <c r="G220" s="458">
        <v>1</v>
      </c>
      <c r="H220" s="25">
        <f>AppleData[[#This Row],[Selling Price]]*$F$11*AppleData[[#This Row],[Quantity]]</f>
        <v>1.5997999999999999</v>
      </c>
    </row>
    <row r="221" spans="2:8" x14ac:dyDescent="0.45">
      <c r="B221" s="457">
        <v>43784</v>
      </c>
      <c r="C221" s="354" t="s">
        <v>2454</v>
      </c>
      <c r="D221" s="355" t="s">
        <v>2455</v>
      </c>
      <c r="E221" s="355" t="s">
        <v>2453</v>
      </c>
      <c r="F221" s="459">
        <v>168.95</v>
      </c>
      <c r="G221" s="458">
        <v>4</v>
      </c>
      <c r="H221" s="25">
        <f>AppleData[[#This Row],[Selling Price]]*$F$11*AppleData[[#This Row],[Quantity]]</f>
        <v>13.516</v>
      </c>
    </row>
    <row r="222" spans="2:8" x14ac:dyDescent="0.45">
      <c r="B222" s="457">
        <v>43784</v>
      </c>
      <c r="C222" s="354" t="s">
        <v>2448</v>
      </c>
      <c r="D222" s="355" t="s">
        <v>2449</v>
      </c>
      <c r="E222" s="355" t="s">
        <v>2456</v>
      </c>
      <c r="F222" s="459">
        <v>340.95</v>
      </c>
      <c r="G222" s="458">
        <v>6</v>
      </c>
      <c r="H222" s="25">
        <f>AppleData[[#This Row],[Selling Price]]*$F$11*AppleData[[#This Row],[Quantity]]</f>
        <v>40.914000000000001</v>
      </c>
    </row>
    <row r="223" spans="2:8" x14ac:dyDescent="0.45">
      <c r="B223" s="457">
        <v>43785</v>
      </c>
      <c r="C223" s="354" t="s">
        <v>2469</v>
      </c>
      <c r="D223" s="355" t="s">
        <v>2449</v>
      </c>
      <c r="E223" s="355" t="s">
        <v>2456</v>
      </c>
      <c r="F223" s="459">
        <v>340.95</v>
      </c>
      <c r="G223" s="458">
        <v>13</v>
      </c>
      <c r="H223" s="25">
        <f>AppleData[[#This Row],[Selling Price]]*$F$11*AppleData[[#This Row],[Quantity]]</f>
        <v>88.647000000000006</v>
      </c>
    </row>
    <row r="224" spans="2:8" x14ac:dyDescent="0.45">
      <c r="B224" s="457">
        <v>43785</v>
      </c>
      <c r="C224" s="354" t="s">
        <v>2467</v>
      </c>
      <c r="D224" s="355" t="s">
        <v>2455</v>
      </c>
      <c r="E224" s="355" t="s">
        <v>2450</v>
      </c>
      <c r="F224" s="459">
        <v>799.95</v>
      </c>
      <c r="G224" s="458">
        <v>14</v>
      </c>
      <c r="H224" s="25">
        <f>AppleData[[#This Row],[Selling Price]]*$F$11*AppleData[[#This Row],[Quantity]]</f>
        <v>223.98600000000002</v>
      </c>
    </row>
    <row r="225" spans="2:8" x14ac:dyDescent="0.45">
      <c r="B225" s="457">
        <v>43785</v>
      </c>
      <c r="C225" s="354" t="s">
        <v>2451</v>
      </c>
      <c r="D225" s="355" t="s">
        <v>2452</v>
      </c>
      <c r="E225" s="355" t="s">
        <v>2453</v>
      </c>
      <c r="F225" s="459">
        <v>168.95</v>
      </c>
      <c r="G225" s="458">
        <v>2</v>
      </c>
      <c r="H225" s="25">
        <f>AppleData[[#This Row],[Selling Price]]*$F$11*AppleData[[#This Row],[Quantity]]</f>
        <v>6.758</v>
      </c>
    </row>
    <row r="226" spans="2:8" x14ac:dyDescent="0.45">
      <c r="B226" s="457">
        <v>43786</v>
      </c>
      <c r="C226" s="354" t="s">
        <v>2459</v>
      </c>
      <c r="D226" s="355" t="s">
        <v>2464</v>
      </c>
      <c r="E226" s="355" t="s">
        <v>2463</v>
      </c>
      <c r="F226" s="459">
        <v>79.989999999999995</v>
      </c>
      <c r="G226" s="458">
        <v>9</v>
      </c>
      <c r="H226" s="25">
        <f>AppleData[[#This Row],[Selling Price]]*$F$11*AppleData[[#This Row],[Quantity]]</f>
        <v>14.398199999999999</v>
      </c>
    </row>
    <row r="227" spans="2:8" x14ac:dyDescent="0.45">
      <c r="B227" s="457">
        <v>43787</v>
      </c>
      <c r="C227" s="354" t="s">
        <v>2451</v>
      </c>
      <c r="D227" s="355" t="s">
        <v>2464</v>
      </c>
      <c r="E227" s="355" t="s">
        <v>2461</v>
      </c>
      <c r="F227" s="459">
        <v>340.95</v>
      </c>
      <c r="G227" s="458">
        <v>13</v>
      </c>
      <c r="H227" s="25">
        <f>AppleData[[#This Row],[Selling Price]]*$F$11*AppleData[[#This Row],[Quantity]]</f>
        <v>88.647000000000006</v>
      </c>
    </row>
    <row r="228" spans="2:8" x14ac:dyDescent="0.45">
      <c r="B228" s="457">
        <v>43787</v>
      </c>
      <c r="C228" s="354" t="s">
        <v>2448</v>
      </c>
      <c r="D228" s="355" t="s">
        <v>2449</v>
      </c>
      <c r="E228" s="355" t="s">
        <v>2456</v>
      </c>
      <c r="F228" s="459">
        <v>340.95</v>
      </c>
      <c r="G228" s="458">
        <v>13</v>
      </c>
      <c r="H228" s="25">
        <f>AppleData[[#This Row],[Selling Price]]*$F$11*AppleData[[#This Row],[Quantity]]</f>
        <v>88.647000000000006</v>
      </c>
    </row>
    <row r="229" spans="2:8" x14ac:dyDescent="0.45">
      <c r="B229" s="457">
        <v>43788</v>
      </c>
      <c r="C229" s="354" t="s">
        <v>2468</v>
      </c>
      <c r="D229" s="355" t="s">
        <v>2458</v>
      </c>
      <c r="E229" s="355" t="s">
        <v>2461</v>
      </c>
      <c r="F229" s="459">
        <v>340.95</v>
      </c>
      <c r="G229" s="458">
        <v>10</v>
      </c>
      <c r="H229" s="25">
        <f>AppleData[[#This Row],[Selling Price]]*$F$11*AppleData[[#This Row],[Quantity]]</f>
        <v>68.19</v>
      </c>
    </row>
    <row r="230" spans="2:8" x14ac:dyDescent="0.45">
      <c r="B230" s="457">
        <v>43788</v>
      </c>
      <c r="C230" s="354" t="s">
        <v>2465</v>
      </c>
      <c r="D230" s="355" t="s">
        <v>2464</v>
      </c>
      <c r="E230" s="355" t="s">
        <v>2463</v>
      </c>
      <c r="F230" s="459">
        <v>79.989999999999995</v>
      </c>
      <c r="G230" s="458">
        <v>1</v>
      </c>
      <c r="H230" s="25">
        <f>AppleData[[#This Row],[Selling Price]]*$F$11*AppleData[[#This Row],[Quantity]]</f>
        <v>1.5997999999999999</v>
      </c>
    </row>
    <row r="231" spans="2:8" x14ac:dyDescent="0.45">
      <c r="B231" s="457">
        <v>43788</v>
      </c>
      <c r="C231" s="354" t="s">
        <v>2460</v>
      </c>
      <c r="D231" s="355" t="s">
        <v>2455</v>
      </c>
      <c r="E231" s="355" t="s">
        <v>2456</v>
      </c>
      <c r="F231" s="459">
        <v>340.95</v>
      </c>
      <c r="G231" s="458">
        <v>5</v>
      </c>
      <c r="H231" s="25">
        <f>AppleData[[#This Row],[Selling Price]]*$F$11*AppleData[[#This Row],[Quantity]]</f>
        <v>34.094999999999999</v>
      </c>
    </row>
    <row r="232" spans="2:8" x14ac:dyDescent="0.45">
      <c r="B232" s="457">
        <v>43789</v>
      </c>
      <c r="C232" s="354" t="s">
        <v>2451</v>
      </c>
      <c r="D232" s="355" t="s">
        <v>2455</v>
      </c>
      <c r="E232" s="355" t="s">
        <v>2456</v>
      </c>
      <c r="F232" s="459">
        <v>340.95</v>
      </c>
      <c r="G232" s="458">
        <v>2</v>
      </c>
      <c r="H232" s="25">
        <f>AppleData[[#This Row],[Selling Price]]*$F$11*AppleData[[#This Row],[Quantity]]</f>
        <v>13.638</v>
      </c>
    </row>
    <row r="233" spans="2:8" x14ac:dyDescent="0.45">
      <c r="B233" s="457">
        <v>43790</v>
      </c>
      <c r="C233" s="354" t="s">
        <v>2465</v>
      </c>
      <c r="D233" s="355" t="s">
        <v>2455</v>
      </c>
      <c r="E233" s="355" t="s">
        <v>2463</v>
      </c>
      <c r="F233" s="459">
        <v>79.989999999999995</v>
      </c>
      <c r="G233" s="458">
        <v>10</v>
      </c>
      <c r="H233" s="25">
        <f>AppleData[[#This Row],[Selling Price]]*$F$11*AppleData[[#This Row],[Quantity]]</f>
        <v>15.997999999999999</v>
      </c>
    </row>
    <row r="234" spans="2:8" x14ac:dyDescent="0.45">
      <c r="B234" s="457">
        <v>43791</v>
      </c>
      <c r="C234" s="354" t="s">
        <v>2457</v>
      </c>
      <c r="D234" s="355" t="s">
        <v>2455</v>
      </c>
      <c r="E234" s="355" t="s">
        <v>2450</v>
      </c>
      <c r="F234" s="459">
        <v>799.95</v>
      </c>
      <c r="G234" s="458">
        <v>13</v>
      </c>
      <c r="H234" s="25">
        <f>AppleData[[#This Row],[Selling Price]]*$F$11*AppleData[[#This Row],[Quantity]]</f>
        <v>207.98699999999999</v>
      </c>
    </row>
    <row r="235" spans="2:8" x14ac:dyDescent="0.45">
      <c r="B235" s="457">
        <v>43791</v>
      </c>
      <c r="C235" s="354" t="s">
        <v>2454</v>
      </c>
      <c r="D235" s="355" t="s">
        <v>2452</v>
      </c>
      <c r="E235" s="355" t="s">
        <v>2461</v>
      </c>
      <c r="F235" s="459">
        <v>340.95</v>
      </c>
      <c r="G235" s="458">
        <v>17</v>
      </c>
      <c r="H235" s="25">
        <f>AppleData[[#This Row],[Selling Price]]*$F$11*AppleData[[#This Row],[Quantity]]</f>
        <v>115.923</v>
      </c>
    </row>
    <row r="236" spans="2:8" x14ac:dyDescent="0.45">
      <c r="B236" s="457">
        <v>43791</v>
      </c>
      <c r="C236" s="354" t="s">
        <v>2460</v>
      </c>
      <c r="D236" s="355" t="s">
        <v>2458</v>
      </c>
      <c r="E236" s="355" t="s">
        <v>2450</v>
      </c>
      <c r="F236" s="459">
        <v>799.95</v>
      </c>
      <c r="G236" s="458">
        <v>8</v>
      </c>
      <c r="H236" s="25">
        <f>AppleData[[#This Row],[Selling Price]]*$F$11*AppleData[[#This Row],[Quantity]]</f>
        <v>127.992</v>
      </c>
    </row>
    <row r="237" spans="2:8" x14ac:dyDescent="0.45">
      <c r="B237" s="457">
        <v>43791</v>
      </c>
      <c r="C237" s="354" t="s">
        <v>2451</v>
      </c>
      <c r="D237" s="355" t="s">
        <v>2464</v>
      </c>
      <c r="E237" s="355" t="s">
        <v>2461</v>
      </c>
      <c r="F237" s="459">
        <v>340.95</v>
      </c>
      <c r="G237" s="458">
        <v>12</v>
      </c>
      <c r="H237" s="25">
        <f>AppleData[[#This Row],[Selling Price]]*$F$11*AppleData[[#This Row],[Quantity]]</f>
        <v>81.828000000000003</v>
      </c>
    </row>
    <row r="238" spans="2:8" x14ac:dyDescent="0.45">
      <c r="B238" s="457">
        <v>43792</v>
      </c>
      <c r="C238" s="354" t="s">
        <v>2460</v>
      </c>
      <c r="D238" s="355" t="s">
        <v>2449</v>
      </c>
      <c r="E238" s="355" t="s">
        <v>2453</v>
      </c>
      <c r="F238" s="459">
        <v>168.95</v>
      </c>
      <c r="G238" s="458">
        <v>3</v>
      </c>
      <c r="H238" s="25">
        <f>AppleData[[#This Row],[Selling Price]]*$F$11*AppleData[[#This Row],[Quantity]]</f>
        <v>10.137</v>
      </c>
    </row>
    <row r="239" spans="2:8" x14ac:dyDescent="0.45">
      <c r="B239" s="457">
        <v>43793</v>
      </c>
      <c r="C239" s="354" t="s">
        <v>2451</v>
      </c>
      <c r="D239" s="355" t="s">
        <v>2449</v>
      </c>
      <c r="E239" s="355" t="s">
        <v>2463</v>
      </c>
      <c r="F239" s="459">
        <v>79.989999999999995</v>
      </c>
      <c r="G239" s="458">
        <v>1</v>
      </c>
      <c r="H239" s="25">
        <f>AppleData[[#This Row],[Selling Price]]*$F$11*AppleData[[#This Row],[Quantity]]</f>
        <v>1.5997999999999999</v>
      </c>
    </row>
    <row r="240" spans="2:8" x14ac:dyDescent="0.45">
      <c r="B240" s="457">
        <v>43794</v>
      </c>
      <c r="C240" s="354" t="s">
        <v>2448</v>
      </c>
      <c r="D240" s="355" t="s">
        <v>2455</v>
      </c>
      <c r="E240" s="355" t="s">
        <v>2456</v>
      </c>
      <c r="F240" s="459">
        <v>340.95</v>
      </c>
      <c r="G240" s="458">
        <v>2</v>
      </c>
      <c r="H240" s="25">
        <f>AppleData[[#This Row],[Selling Price]]*$F$11*AppleData[[#This Row],[Quantity]]</f>
        <v>13.638</v>
      </c>
    </row>
    <row r="241" spans="2:8" x14ac:dyDescent="0.45">
      <c r="B241" s="457">
        <v>43794</v>
      </c>
      <c r="C241" s="354" t="s">
        <v>2465</v>
      </c>
      <c r="D241" s="355" t="s">
        <v>2452</v>
      </c>
      <c r="E241" s="355" t="s">
        <v>2461</v>
      </c>
      <c r="F241" s="459">
        <v>340.95</v>
      </c>
      <c r="G241" s="458">
        <v>13</v>
      </c>
      <c r="H241" s="25">
        <f>AppleData[[#This Row],[Selling Price]]*$F$11*AppleData[[#This Row],[Quantity]]</f>
        <v>88.647000000000006</v>
      </c>
    </row>
    <row r="242" spans="2:8" x14ac:dyDescent="0.45">
      <c r="B242" s="457">
        <v>43794</v>
      </c>
      <c r="C242" s="354" t="s">
        <v>2451</v>
      </c>
      <c r="D242" s="355" t="s">
        <v>2464</v>
      </c>
      <c r="E242" s="355" t="s">
        <v>2450</v>
      </c>
      <c r="F242" s="459">
        <v>799.95</v>
      </c>
      <c r="G242" s="458">
        <v>2</v>
      </c>
      <c r="H242" s="25">
        <f>AppleData[[#This Row],[Selling Price]]*$F$11*AppleData[[#This Row],[Quantity]]</f>
        <v>31.998000000000001</v>
      </c>
    </row>
    <row r="243" spans="2:8" x14ac:dyDescent="0.45">
      <c r="B243" s="457">
        <v>43794</v>
      </c>
      <c r="C243" s="354" t="s">
        <v>2467</v>
      </c>
      <c r="D243" s="355" t="s">
        <v>2449</v>
      </c>
      <c r="E243" s="355" t="s">
        <v>2461</v>
      </c>
      <c r="F243" s="459">
        <v>340.95</v>
      </c>
      <c r="G243" s="458">
        <v>5</v>
      </c>
      <c r="H243" s="25">
        <f>AppleData[[#This Row],[Selling Price]]*$F$11*AppleData[[#This Row],[Quantity]]</f>
        <v>34.094999999999999</v>
      </c>
    </row>
    <row r="244" spans="2:8" x14ac:dyDescent="0.45">
      <c r="B244" s="457">
        <v>43795</v>
      </c>
      <c r="C244" s="354" t="s">
        <v>2451</v>
      </c>
      <c r="D244" s="355" t="s">
        <v>2458</v>
      </c>
      <c r="E244" s="355" t="s">
        <v>2450</v>
      </c>
      <c r="F244" s="459">
        <v>799.95</v>
      </c>
      <c r="G244" s="458">
        <v>5</v>
      </c>
      <c r="H244" s="25">
        <f>AppleData[[#This Row],[Selling Price]]*$F$11*AppleData[[#This Row],[Quantity]]</f>
        <v>79.995000000000005</v>
      </c>
    </row>
    <row r="245" spans="2:8" x14ac:dyDescent="0.45">
      <c r="B245" s="457">
        <v>43795</v>
      </c>
      <c r="C245" s="354" t="s">
        <v>2462</v>
      </c>
      <c r="D245" s="355" t="s">
        <v>2452</v>
      </c>
      <c r="E245" s="355" t="s">
        <v>2453</v>
      </c>
      <c r="F245" s="459">
        <v>168.95</v>
      </c>
      <c r="G245" s="458">
        <v>9</v>
      </c>
      <c r="H245" s="25">
        <f>AppleData[[#This Row],[Selling Price]]*$F$11*AppleData[[#This Row],[Quantity]]</f>
        <v>30.411000000000001</v>
      </c>
    </row>
    <row r="246" spans="2:8" x14ac:dyDescent="0.45">
      <c r="B246" s="457">
        <v>43795</v>
      </c>
      <c r="C246" s="354" t="s">
        <v>2469</v>
      </c>
      <c r="D246" s="355" t="s">
        <v>2452</v>
      </c>
      <c r="E246" s="355" t="s">
        <v>2456</v>
      </c>
      <c r="F246" s="459">
        <v>340.95</v>
      </c>
      <c r="G246" s="458">
        <v>5</v>
      </c>
      <c r="H246" s="25">
        <f>AppleData[[#This Row],[Selling Price]]*$F$11*AppleData[[#This Row],[Quantity]]</f>
        <v>34.094999999999999</v>
      </c>
    </row>
    <row r="247" spans="2:8" x14ac:dyDescent="0.45">
      <c r="B247" s="457">
        <v>43795</v>
      </c>
      <c r="C247" s="354" t="s">
        <v>2460</v>
      </c>
      <c r="D247" s="355" t="s">
        <v>2455</v>
      </c>
      <c r="E247" s="355" t="s">
        <v>2463</v>
      </c>
      <c r="F247" s="459">
        <v>79.989999999999995</v>
      </c>
      <c r="G247" s="458">
        <v>13</v>
      </c>
      <c r="H247" s="25">
        <f>AppleData[[#This Row],[Selling Price]]*$F$11*AppleData[[#This Row],[Quantity]]</f>
        <v>20.7974</v>
      </c>
    </row>
    <row r="248" spans="2:8" x14ac:dyDescent="0.45">
      <c r="B248" s="457">
        <v>43795</v>
      </c>
      <c r="C248" s="354" t="s">
        <v>2460</v>
      </c>
      <c r="D248" s="355" t="s">
        <v>2458</v>
      </c>
      <c r="E248" s="355" t="s">
        <v>2463</v>
      </c>
      <c r="F248" s="459">
        <v>79.989999999999995</v>
      </c>
      <c r="G248" s="458">
        <v>1</v>
      </c>
      <c r="H248" s="25">
        <f>AppleData[[#This Row],[Selling Price]]*$F$11*AppleData[[#This Row],[Quantity]]</f>
        <v>1.5997999999999999</v>
      </c>
    </row>
    <row r="249" spans="2:8" x14ac:dyDescent="0.45">
      <c r="B249" s="457">
        <v>43796</v>
      </c>
      <c r="C249" s="354" t="s">
        <v>2465</v>
      </c>
      <c r="D249" s="355" t="s">
        <v>2464</v>
      </c>
      <c r="E249" s="355" t="s">
        <v>2456</v>
      </c>
      <c r="F249" s="459">
        <v>340.95</v>
      </c>
      <c r="G249" s="458">
        <v>16</v>
      </c>
      <c r="H249" s="25">
        <f>AppleData[[#This Row],[Selling Price]]*$F$11*AppleData[[#This Row],[Quantity]]</f>
        <v>109.104</v>
      </c>
    </row>
    <row r="250" spans="2:8" x14ac:dyDescent="0.45">
      <c r="B250" s="457">
        <v>43796</v>
      </c>
      <c r="C250" s="354" t="s">
        <v>2468</v>
      </c>
      <c r="D250" s="355" t="s">
        <v>2449</v>
      </c>
      <c r="E250" s="355" t="s">
        <v>2450</v>
      </c>
      <c r="F250" s="459">
        <v>799.95</v>
      </c>
      <c r="G250" s="458">
        <v>15</v>
      </c>
      <c r="H250" s="25">
        <f>AppleData[[#This Row],[Selling Price]]*$F$11*AppleData[[#This Row],[Quantity]]</f>
        <v>239.98500000000001</v>
      </c>
    </row>
    <row r="251" spans="2:8" x14ac:dyDescent="0.45">
      <c r="B251" s="457">
        <v>43796</v>
      </c>
      <c r="C251" s="354" t="s">
        <v>2469</v>
      </c>
      <c r="D251" s="355" t="s">
        <v>2455</v>
      </c>
      <c r="E251" s="355" t="s">
        <v>2453</v>
      </c>
      <c r="F251" s="459">
        <v>168.95</v>
      </c>
      <c r="G251" s="458">
        <v>6</v>
      </c>
      <c r="H251" s="25">
        <f>AppleData[[#This Row],[Selling Price]]*$F$11*AppleData[[#This Row],[Quantity]]</f>
        <v>20.274000000000001</v>
      </c>
    </row>
    <row r="252" spans="2:8" x14ac:dyDescent="0.45">
      <c r="B252" s="457">
        <v>43796</v>
      </c>
      <c r="C252" s="354" t="s">
        <v>2469</v>
      </c>
      <c r="D252" s="355" t="s">
        <v>2449</v>
      </c>
      <c r="E252" s="355" t="s">
        <v>2461</v>
      </c>
      <c r="F252" s="459">
        <v>340.95</v>
      </c>
      <c r="G252" s="458">
        <v>7</v>
      </c>
      <c r="H252" s="25">
        <f>AppleData[[#This Row],[Selling Price]]*$F$11*AppleData[[#This Row],[Quantity]]</f>
        <v>47.732999999999997</v>
      </c>
    </row>
    <row r="253" spans="2:8" x14ac:dyDescent="0.45">
      <c r="B253" s="457">
        <v>43797</v>
      </c>
      <c r="C253" s="354" t="s">
        <v>2460</v>
      </c>
      <c r="D253" s="355" t="s">
        <v>2452</v>
      </c>
      <c r="E253" s="355" t="s">
        <v>2456</v>
      </c>
      <c r="F253" s="459">
        <v>340.95</v>
      </c>
      <c r="G253" s="458">
        <v>3</v>
      </c>
      <c r="H253" s="25">
        <f>AppleData[[#This Row],[Selling Price]]*$F$11*AppleData[[#This Row],[Quantity]]</f>
        <v>20.457000000000001</v>
      </c>
    </row>
    <row r="254" spans="2:8" x14ac:dyDescent="0.45">
      <c r="B254" s="457">
        <v>43798</v>
      </c>
      <c r="C254" s="354" t="s">
        <v>2459</v>
      </c>
      <c r="D254" s="355" t="s">
        <v>2458</v>
      </c>
      <c r="E254" s="355" t="s">
        <v>2461</v>
      </c>
      <c r="F254" s="459">
        <v>340.95</v>
      </c>
      <c r="G254" s="458">
        <v>6</v>
      </c>
      <c r="H254" s="25">
        <f>AppleData[[#This Row],[Selling Price]]*$F$11*AppleData[[#This Row],[Quantity]]</f>
        <v>40.914000000000001</v>
      </c>
    </row>
    <row r="255" spans="2:8" x14ac:dyDescent="0.45">
      <c r="B255" s="457">
        <v>43798</v>
      </c>
      <c r="C255" s="354" t="s">
        <v>2465</v>
      </c>
      <c r="D255" s="355" t="s">
        <v>2452</v>
      </c>
      <c r="E255" s="355" t="s">
        <v>2456</v>
      </c>
      <c r="F255" s="459">
        <v>340.95</v>
      </c>
      <c r="G255" s="458">
        <v>20</v>
      </c>
      <c r="H255" s="25">
        <f>AppleData[[#This Row],[Selling Price]]*$F$11*AppleData[[#This Row],[Quantity]]</f>
        <v>136.38</v>
      </c>
    </row>
    <row r="256" spans="2:8" x14ac:dyDescent="0.45">
      <c r="B256" s="457">
        <v>43798</v>
      </c>
      <c r="C256" s="354" t="s">
        <v>2451</v>
      </c>
      <c r="D256" s="355" t="s">
        <v>2458</v>
      </c>
      <c r="E256" s="355" t="s">
        <v>2453</v>
      </c>
      <c r="F256" s="459">
        <v>168.95</v>
      </c>
      <c r="G256" s="458">
        <v>9</v>
      </c>
      <c r="H256" s="25">
        <f>AppleData[[#This Row],[Selling Price]]*$F$11*AppleData[[#This Row],[Quantity]]</f>
        <v>30.411000000000001</v>
      </c>
    </row>
    <row r="257" spans="2:8" x14ac:dyDescent="0.45">
      <c r="B257" s="457">
        <v>43798</v>
      </c>
      <c r="C257" s="354" t="s">
        <v>2469</v>
      </c>
      <c r="D257" s="355" t="s">
        <v>2464</v>
      </c>
      <c r="E257" s="355" t="s">
        <v>2450</v>
      </c>
      <c r="F257" s="459">
        <v>799.95</v>
      </c>
      <c r="G257" s="458">
        <v>13</v>
      </c>
      <c r="H257" s="25">
        <f>AppleData[[#This Row],[Selling Price]]*$F$11*AppleData[[#This Row],[Quantity]]</f>
        <v>207.98699999999999</v>
      </c>
    </row>
    <row r="258" spans="2:8" x14ac:dyDescent="0.45">
      <c r="B258" s="457">
        <v>43799</v>
      </c>
      <c r="C258" s="354" t="s">
        <v>2469</v>
      </c>
      <c r="D258" s="355" t="s">
        <v>2452</v>
      </c>
      <c r="E258" s="355" t="s">
        <v>2463</v>
      </c>
      <c r="F258" s="459">
        <v>79.989999999999995</v>
      </c>
      <c r="G258" s="458">
        <v>10</v>
      </c>
      <c r="H258" s="25">
        <f>AppleData[[#This Row],[Selling Price]]*$F$11*AppleData[[#This Row],[Quantity]]</f>
        <v>15.997999999999999</v>
      </c>
    </row>
    <row r="259" spans="2:8" x14ac:dyDescent="0.45">
      <c r="B259" s="457">
        <v>43800</v>
      </c>
      <c r="C259" s="354" t="s">
        <v>2466</v>
      </c>
      <c r="D259" s="355" t="s">
        <v>2458</v>
      </c>
      <c r="E259" s="355" t="s">
        <v>2456</v>
      </c>
      <c r="F259" s="459">
        <v>340.95</v>
      </c>
      <c r="G259" s="458">
        <v>4</v>
      </c>
      <c r="H259" s="25">
        <f>AppleData[[#This Row],[Selling Price]]*$F$11*AppleData[[#This Row],[Quantity]]</f>
        <v>27.276</v>
      </c>
    </row>
    <row r="260" spans="2:8" x14ac:dyDescent="0.45">
      <c r="B260" s="457">
        <v>43800</v>
      </c>
      <c r="C260" s="354" t="s">
        <v>2468</v>
      </c>
      <c r="D260" s="355" t="s">
        <v>2458</v>
      </c>
      <c r="E260" s="355" t="s">
        <v>2463</v>
      </c>
      <c r="F260" s="459">
        <v>79.989999999999995</v>
      </c>
      <c r="G260" s="458">
        <v>5</v>
      </c>
      <c r="H260" s="25">
        <f>AppleData[[#This Row],[Selling Price]]*$F$11*AppleData[[#This Row],[Quantity]]</f>
        <v>7.9989999999999997</v>
      </c>
    </row>
    <row r="261" spans="2:8" x14ac:dyDescent="0.45">
      <c r="B261" s="457">
        <v>43800</v>
      </c>
      <c r="C261" s="354" t="s">
        <v>2466</v>
      </c>
      <c r="D261" s="355" t="s">
        <v>2452</v>
      </c>
      <c r="E261" s="355" t="s">
        <v>2450</v>
      </c>
      <c r="F261" s="459">
        <v>799.95</v>
      </c>
      <c r="G261" s="458">
        <v>12</v>
      </c>
      <c r="H261" s="25">
        <f>AppleData[[#This Row],[Selling Price]]*$F$11*AppleData[[#This Row],[Quantity]]</f>
        <v>191.988</v>
      </c>
    </row>
    <row r="262" spans="2:8" x14ac:dyDescent="0.45">
      <c r="B262" s="457">
        <v>43801</v>
      </c>
      <c r="C262" s="354" t="s">
        <v>2465</v>
      </c>
      <c r="D262" s="355" t="s">
        <v>2452</v>
      </c>
      <c r="E262" s="355" t="s">
        <v>2461</v>
      </c>
      <c r="F262" s="459">
        <v>340.95</v>
      </c>
      <c r="G262" s="458">
        <v>14</v>
      </c>
      <c r="H262" s="25">
        <f>AppleData[[#This Row],[Selling Price]]*$F$11*AppleData[[#This Row],[Quantity]]</f>
        <v>95.465999999999994</v>
      </c>
    </row>
    <row r="263" spans="2:8" x14ac:dyDescent="0.45">
      <c r="B263" s="457">
        <v>43801</v>
      </c>
      <c r="C263" s="354" t="s">
        <v>2448</v>
      </c>
      <c r="D263" s="355" t="s">
        <v>2449</v>
      </c>
      <c r="E263" s="355" t="s">
        <v>2450</v>
      </c>
      <c r="F263" s="459">
        <v>799.95</v>
      </c>
      <c r="G263" s="458">
        <v>15</v>
      </c>
      <c r="H263" s="25">
        <f>AppleData[[#This Row],[Selling Price]]*$F$11*AppleData[[#This Row],[Quantity]]</f>
        <v>239.98500000000001</v>
      </c>
    </row>
    <row r="264" spans="2:8" x14ac:dyDescent="0.45">
      <c r="B264" s="457">
        <v>43802</v>
      </c>
      <c r="C264" s="354" t="s">
        <v>2466</v>
      </c>
      <c r="D264" s="355" t="s">
        <v>2452</v>
      </c>
      <c r="E264" s="355" t="s">
        <v>2463</v>
      </c>
      <c r="F264" s="459">
        <v>79.989999999999995</v>
      </c>
      <c r="G264" s="458">
        <v>20</v>
      </c>
      <c r="H264" s="25">
        <f>AppleData[[#This Row],[Selling Price]]*$F$11*AppleData[[#This Row],[Quantity]]</f>
        <v>31.995999999999999</v>
      </c>
    </row>
    <row r="265" spans="2:8" x14ac:dyDescent="0.45">
      <c r="B265" s="457">
        <v>43802</v>
      </c>
      <c r="C265" s="354" t="s">
        <v>2462</v>
      </c>
      <c r="D265" s="355" t="s">
        <v>2452</v>
      </c>
      <c r="E265" s="355" t="s">
        <v>2450</v>
      </c>
      <c r="F265" s="459">
        <v>799.95</v>
      </c>
      <c r="G265" s="458">
        <v>14</v>
      </c>
      <c r="H265" s="25">
        <f>AppleData[[#This Row],[Selling Price]]*$F$11*AppleData[[#This Row],[Quantity]]</f>
        <v>223.98600000000002</v>
      </c>
    </row>
    <row r="266" spans="2:8" x14ac:dyDescent="0.45">
      <c r="B266" s="457">
        <v>43804</v>
      </c>
      <c r="C266" s="354" t="s">
        <v>2451</v>
      </c>
      <c r="D266" s="355" t="s">
        <v>2449</v>
      </c>
      <c r="E266" s="355" t="s">
        <v>2463</v>
      </c>
      <c r="F266" s="459">
        <v>79.989999999999995</v>
      </c>
      <c r="G266" s="458">
        <v>5</v>
      </c>
      <c r="H266" s="25">
        <f>AppleData[[#This Row],[Selling Price]]*$F$11*AppleData[[#This Row],[Quantity]]</f>
        <v>7.9989999999999997</v>
      </c>
    </row>
    <row r="267" spans="2:8" x14ac:dyDescent="0.45">
      <c r="B267" s="457">
        <v>43805</v>
      </c>
      <c r="C267" s="354" t="s">
        <v>2465</v>
      </c>
      <c r="D267" s="355" t="s">
        <v>2464</v>
      </c>
      <c r="E267" s="355" t="s">
        <v>2450</v>
      </c>
      <c r="F267" s="459">
        <v>799.95</v>
      </c>
      <c r="G267" s="458">
        <v>4</v>
      </c>
      <c r="H267" s="25">
        <f>AppleData[[#This Row],[Selling Price]]*$F$11*AppleData[[#This Row],[Quantity]]</f>
        <v>63.996000000000002</v>
      </c>
    </row>
    <row r="268" spans="2:8" x14ac:dyDescent="0.45">
      <c r="B268" s="457">
        <v>43806</v>
      </c>
      <c r="C268" s="354" t="s">
        <v>2465</v>
      </c>
      <c r="D268" s="355" t="s">
        <v>2455</v>
      </c>
      <c r="E268" s="355" t="s">
        <v>2450</v>
      </c>
      <c r="F268" s="459">
        <v>799.95</v>
      </c>
      <c r="G268" s="458">
        <v>8</v>
      </c>
      <c r="H268" s="25">
        <f>AppleData[[#This Row],[Selling Price]]*$F$11*AppleData[[#This Row],[Quantity]]</f>
        <v>127.992</v>
      </c>
    </row>
    <row r="269" spans="2:8" x14ac:dyDescent="0.45">
      <c r="B269" s="457">
        <v>43807</v>
      </c>
      <c r="C269" s="354" t="s">
        <v>2454</v>
      </c>
      <c r="D269" s="355" t="s">
        <v>2464</v>
      </c>
      <c r="E269" s="355" t="s">
        <v>2450</v>
      </c>
      <c r="F269" s="459">
        <v>799.95</v>
      </c>
      <c r="G269" s="458">
        <v>10</v>
      </c>
      <c r="H269" s="25">
        <f>AppleData[[#This Row],[Selling Price]]*$F$11*AppleData[[#This Row],[Quantity]]</f>
        <v>159.99</v>
      </c>
    </row>
    <row r="270" spans="2:8" x14ac:dyDescent="0.45">
      <c r="B270" s="457">
        <v>43807</v>
      </c>
      <c r="C270" s="354" t="s">
        <v>2459</v>
      </c>
      <c r="D270" s="355" t="s">
        <v>2449</v>
      </c>
      <c r="E270" s="355" t="s">
        <v>2461</v>
      </c>
      <c r="F270" s="459">
        <v>340.95</v>
      </c>
      <c r="G270" s="458">
        <v>8</v>
      </c>
      <c r="H270" s="25">
        <f>AppleData[[#This Row],[Selling Price]]*$F$11*AppleData[[#This Row],[Quantity]]</f>
        <v>54.552</v>
      </c>
    </row>
    <row r="271" spans="2:8" x14ac:dyDescent="0.45">
      <c r="B271" s="457">
        <v>43807</v>
      </c>
      <c r="C271" s="354" t="s">
        <v>2462</v>
      </c>
      <c r="D271" s="355" t="s">
        <v>2458</v>
      </c>
      <c r="E271" s="355" t="s">
        <v>2450</v>
      </c>
      <c r="F271" s="459">
        <v>799.95</v>
      </c>
      <c r="G271" s="458">
        <v>11</v>
      </c>
      <c r="H271" s="25">
        <f>AppleData[[#This Row],[Selling Price]]*$F$11*AppleData[[#This Row],[Quantity]]</f>
        <v>175.989</v>
      </c>
    </row>
    <row r="272" spans="2:8" x14ac:dyDescent="0.45">
      <c r="B272" s="457">
        <v>43808</v>
      </c>
      <c r="C272" s="354" t="s">
        <v>2469</v>
      </c>
      <c r="D272" s="355" t="s">
        <v>2464</v>
      </c>
      <c r="E272" s="355" t="s">
        <v>2463</v>
      </c>
      <c r="F272" s="459">
        <v>79.989999999999995</v>
      </c>
      <c r="G272" s="458">
        <v>4</v>
      </c>
      <c r="H272" s="25">
        <f>AppleData[[#This Row],[Selling Price]]*$F$11*AppleData[[#This Row],[Quantity]]</f>
        <v>6.3991999999999996</v>
      </c>
    </row>
    <row r="273" spans="2:8" x14ac:dyDescent="0.45">
      <c r="B273" s="457">
        <v>43809</v>
      </c>
      <c r="C273" s="354" t="s">
        <v>2460</v>
      </c>
      <c r="D273" s="355" t="s">
        <v>2458</v>
      </c>
      <c r="E273" s="355" t="s">
        <v>2456</v>
      </c>
      <c r="F273" s="459">
        <v>340.95</v>
      </c>
      <c r="G273" s="458">
        <v>2</v>
      </c>
      <c r="H273" s="25">
        <f>AppleData[[#This Row],[Selling Price]]*$F$11*AppleData[[#This Row],[Quantity]]</f>
        <v>13.638</v>
      </c>
    </row>
    <row r="274" spans="2:8" x14ac:dyDescent="0.45">
      <c r="B274" s="457">
        <v>43809</v>
      </c>
      <c r="C274" s="354" t="s">
        <v>2454</v>
      </c>
      <c r="D274" s="355" t="s">
        <v>2452</v>
      </c>
      <c r="E274" s="355" t="s">
        <v>2453</v>
      </c>
      <c r="F274" s="459">
        <v>168.95</v>
      </c>
      <c r="G274" s="458">
        <v>3</v>
      </c>
      <c r="H274" s="25">
        <f>AppleData[[#This Row],[Selling Price]]*$F$11*AppleData[[#This Row],[Quantity]]</f>
        <v>10.137</v>
      </c>
    </row>
    <row r="275" spans="2:8" x14ac:dyDescent="0.45">
      <c r="B275" s="457">
        <v>43810</v>
      </c>
      <c r="C275" s="354" t="s">
        <v>2457</v>
      </c>
      <c r="D275" s="355" t="s">
        <v>2449</v>
      </c>
      <c r="E275" s="355" t="s">
        <v>2463</v>
      </c>
      <c r="F275" s="459">
        <v>79.989999999999995</v>
      </c>
      <c r="G275" s="458">
        <v>12</v>
      </c>
      <c r="H275" s="25">
        <f>AppleData[[#This Row],[Selling Price]]*$F$11*AppleData[[#This Row],[Quantity]]</f>
        <v>19.197599999999998</v>
      </c>
    </row>
    <row r="276" spans="2:8" x14ac:dyDescent="0.45">
      <c r="B276" s="457">
        <v>43811</v>
      </c>
      <c r="C276" s="354" t="s">
        <v>2460</v>
      </c>
      <c r="D276" s="355" t="s">
        <v>2464</v>
      </c>
      <c r="E276" s="355" t="s">
        <v>2456</v>
      </c>
      <c r="F276" s="459">
        <v>340.95</v>
      </c>
      <c r="G276" s="458">
        <v>3</v>
      </c>
      <c r="H276" s="25">
        <f>AppleData[[#This Row],[Selling Price]]*$F$11*AppleData[[#This Row],[Quantity]]</f>
        <v>20.457000000000001</v>
      </c>
    </row>
    <row r="277" spans="2:8" x14ac:dyDescent="0.45">
      <c r="B277" s="457">
        <v>43811</v>
      </c>
      <c r="C277" s="354" t="s">
        <v>2451</v>
      </c>
      <c r="D277" s="355" t="s">
        <v>2449</v>
      </c>
      <c r="E277" s="355" t="s">
        <v>2463</v>
      </c>
      <c r="F277" s="459">
        <v>79.989999999999995</v>
      </c>
      <c r="G277" s="458">
        <v>9</v>
      </c>
      <c r="H277" s="25">
        <f>AppleData[[#This Row],[Selling Price]]*$F$11*AppleData[[#This Row],[Quantity]]</f>
        <v>14.398199999999999</v>
      </c>
    </row>
    <row r="278" spans="2:8" x14ac:dyDescent="0.45">
      <c r="B278" s="457">
        <v>43812</v>
      </c>
      <c r="C278" s="354" t="s">
        <v>2459</v>
      </c>
      <c r="D278" s="355" t="s">
        <v>2452</v>
      </c>
      <c r="E278" s="355" t="s">
        <v>2453</v>
      </c>
      <c r="F278" s="459">
        <v>168.95</v>
      </c>
      <c r="G278" s="458">
        <v>11</v>
      </c>
      <c r="H278" s="25">
        <f>AppleData[[#This Row],[Selling Price]]*$F$11*AppleData[[#This Row],[Quantity]]</f>
        <v>37.168999999999997</v>
      </c>
    </row>
    <row r="279" spans="2:8" x14ac:dyDescent="0.45">
      <c r="B279" s="457">
        <v>43813</v>
      </c>
      <c r="C279" s="354" t="s">
        <v>2467</v>
      </c>
      <c r="D279" s="355" t="s">
        <v>2464</v>
      </c>
      <c r="E279" s="355" t="s">
        <v>2453</v>
      </c>
      <c r="F279" s="459">
        <v>168.95</v>
      </c>
      <c r="G279" s="458">
        <v>10</v>
      </c>
      <c r="H279" s="25">
        <f>AppleData[[#This Row],[Selling Price]]*$F$11*AppleData[[#This Row],[Quantity]]</f>
        <v>33.79</v>
      </c>
    </row>
    <row r="280" spans="2:8" x14ac:dyDescent="0.45">
      <c r="B280" s="457">
        <v>43813</v>
      </c>
      <c r="C280" s="354" t="s">
        <v>2454</v>
      </c>
      <c r="D280" s="355" t="s">
        <v>2458</v>
      </c>
      <c r="E280" s="355" t="s">
        <v>2450</v>
      </c>
      <c r="F280" s="459">
        <v>799.95</v>
      </c>
      <c r="G280" s="458">
        <v>4</v>
      </c>
      <c r="H280" s="25">
        <f>AppleData[[#This Row],[Selling Price]]*$F$11*AppleData[[#This Row],[Quantity]]</f>
        <v>63.996000000000002</v>
      </c>
    </row>
    <row r="281" spans="2:8" x14ac:dyDescent="0.45">
      <c r="B281" s="457">
        <v>43814</v>
      </c>
      <c r="C281" s="354" t="s">
        <v>2454</v>
      </c>
      <c r="D281" s="355" t="s">
        <v>2455</v>
      </c>
      <c r="E281" s="355" t="s">
        <v>2461</v>
      </c>
      <c r="F281" s="459">
        <v>340.95</v>
      </c>
      <c r="G281" s="458">
        <v>5</v>
      </c>
      <c r="H281" s="25">
        <f>AppleData[[#This Row],[Selling Price]]*$F$11*AppleData[[#This Row],[Quantity]]</f>
        <v>34.094999999999999</v>
      </c>
    </row>
    <row r="282" spans="2:8" x14ac:dyDescent="0.45">
      <c r="B282" s="457">
        <v>43814</v>
      </c>
      <c r="C282" s="354" t="s">
        <v>2459</v>
      </c>
      <c r="D282" s="355" t="s">
        <v>2464</v>
      </c>
      <c r="E282" s="355" t="s">
        <v>2461</v>
      </c>
      <c r="F282" s="459">
        <v>340.95</v>
      </c>
      <c r="G282" s="458">
        <v>5</v>
      </c>
      <c r="H282" s="25">
        <f>AppleData[[#This Row],[Selling Price]]*$F$11*AppleData[[#This Row],[Quantity]]</f>
        <v>34.094999999999999</v>
      </c>
    </row>
    <row r="283" spans="2:8" x14ac:dyDescent="0.45">
      <c r="B283" s="457">
        <v>43814</v>
      </c>
      <c r="C283" s="354" t="s">
        <v>2451</v>
      </c>
      <c r="D283" s="355" t="s">
        <v>2449</v>
      </c>
      <c r="E283" s="355" t="s">
        <v>2456</v>
      </c>
      <c r="F283" s="459">
        <v>340.95</v>
      </c>
      <c r="G283" s="458">
        <v>16</v>
      </c>
      <c r="H283" s="25">
        <f>AppleData[[#This Row],[Selling Price]]*$F$11*AppleData[[#This Row],[Quantity]]</f>
        <v>109.104</v>
      </c>
    </row>
    <row r="284" spans="2:8" x14ac:dyDescent="0.45">
      <c r="B284" s="457">
        <v>43815</v>
      </c>
      <c r="C284" s="354" t="s">
        <v>2457</v>
      </c>
      <c r="D284" s="355" t="s">
        <v>2458</v>
      </c>
      <c r="E284" s="355" t="s">
        <v>2450</v>
      </c>
      <c r="F284" s="459">
        <v>799.95</v>
      </c>
      <c r="G284" s="458">
        <v>14</v>
      </c>
      <c r="H284" s="25">
        <f>AppleData[[#This Row],[Selling Price]]*$F$11*AppleData[[#This Row],[Quantity]]</f>
        <v>223.98600000000002</v>
      </c>
    </row>
    <row r="285" spans="2:8" x14ac:dyDescent="0.45">
      <c r="B285" s="457">
        <v>43816</v>
      </c>
      <c r="C285" s="354" t="s">
        <v>2451</v>
      </c>
      <c r="D285" s="355" t="s">
        <v>2464</v>
      </c>
      <c r="E285" s="355" t="s">
        <v>2456</v>
      </c>
      <c r="F285" s="459">
        <v>340.95</v>
      </c>
      <c r="G285" s="458">
        <v>3</v>
      </c>
      <c r="H285" s="25">
        <f>AppleData[[#This Row],[Selling Price]]*$F$11*AppleData[[#This Row],[Quantity]]</f>
        <v>20.457000000000001</v>
      </c>
    </row>
    <row r="286" spans="2:8" x14ac:dyDescent="0.45">
      <c r="B286" s="457">
        <v>43817</v>
      </c>
      <c r="C286" s="354" t="s">
        <v>2454</v>
      </c>
      <c r="D286" s="355" t="s">
        <v>2449</v>
      </c>
      <c r="E286" s="355" t="s">
        <v>2463</v>
      </c>
      <c r="F286" s="459">
        <v>79.989999999999995</v>
      </c>
      <c r="G286" s="458">
        <v>3</v>
      </c>
      <c r="H286" s="25">
        <f>AppleData[[#This Row],[Selling Price]]*$F$11*AppleData[[#This Row],[Quantity]]</f>
        <v>4.7993999999999994</v>
      </c>
    </row>
    <row r="287" spans="2:8" x14ac:dyDescent="0.45">
      <c r="B287" s="457">
        <v>43817</v>
      </c>
      <c r="C287" s="354" t="s">
        <v>2469</v>
      </c>
      <c r="D287" s="355" t="s">
        <v>2455</v>
      </c>
      <c r="E287" s="355" t="s">
        <v>2463</v>
      </c>
      <c r="F287" s="459">
        <v>79.989999999999995</v>
      </c>
      <c r="G287" s="458">
        <v>1</v>
      </c>
      <c r="H287" s="25">
        <f>AppleData[[#This Row],[Selling Price]]*$F$11*AppleData[[#This Row],[Quantity]]</f>
        <v>1.5997999999999999</v>
      </c>
    </row>
    <row r="288" spans="2:8" x14ac:dyDescent="0.45">
      <c r="B288" s="457">
        <v>43818</v>
      </c>
      <c r="C288" s="354" t="s">
        <v>2451</v>
      </c>
      <c r="D288" s="355" t="s">
        <v>2452</v>
      </c>
      <c r="E288" s="355" t="s">
        <v>2463</v>
      </c>
      <c r="F288" s="459">
        <v>79.989999999999995</v>
      </c>
      <c r="G288" s="458">
        <v>5</v>
      </c>
      <c r="H288" s="25">
        <f>AppleData[[#This Row],[Selling Price]]*$F$11*AppleData[[#This Row],[Quantity]]</f>
        <v>7.9989999999999997</v>
      </c>
    </row>
    <row r="289" spans="2:8" x14ac:dyDescent="0.45">
      <c r="B289" s="457">
        <v>43818</v>
      </c>
      <c r="C289" s="354" t="s">
        <v>2469</v>
      </c>
      <c r="D289" s="355" t="s">
        <v>2458</v>
      </c>
      <c r="E289" s="355" t="s">
        <v>2463</v>
      </c>
      <c r="F289" s="459">
        <v>79.989999999999995</v>
      </c>
      <c r="G289" s="458">
        <v>9</v>
      </c>
      <c r="H289" s="25">
        <f>AppleData[[#This Row],[Selling Price]]*$F$11*AppleData[[#This Row],[Quantity]]</f>
        <v>14.398199999999999</v>
      </c>
    </row>
    <row r="290" spans="2:8" x14ac:dyDescent="0.45">
      <c r="B290" s="457">
        <v>43818</v>
      </c>
      <c r="C290" s="354" t="s">
        <v>2468</v>
      </c>
      <c r="D290" s="355" t="s">
        <v>2449</v>
      </c>
      <c r="E290" s="355" t="s">
        <v>2461</v>
      </c>
      <c r="F290" s="459">
        <v>340.95</v>
      </c>
      <c r="G290" s="458">
        <v>6</v>
      </c>
      <c r="H290" s="25">
        <f>AppleData[[#This Row],[Selling Price]]*$F$11*AppleData[[#This Row],[Quantity]]</f>
        <v>40.914000000000001</v>
      </c>
    </row>
    <row r="291" spans="2:8" x14ac:dyDescent="0.45">
      <c r="B291" s="457">
        <v>43819</v>
      </c>
      <c r="C291" s="354" t="s">
        <v>2462</v>
      </c>
      <c r="D291" s="355" t="s">
        <v>2464</v>
      </c>
      <c r="E291" s="355" t="s">
        <v>2463</v>
      </c>
      <c r="F291" s="459">
        <v>79.989999999999995</v>
      </c>
      <c r="G291" s="458">
        <v>4</v>
      </c>
      <c r="H291" s="25">
        <f>AppleData[[#This Row],[Selling Price]]*$F$11*AppleData[[#This Row],[Quantity]]</f>
        <v>6.3991999999999996</v>
      </c>
    </row>
    <row r="292" spans="2:8" x14ac:dyDescent="0.45">
      <c r="B292" s="457">
        <v>43820</v>
      </c>
      <c r="C292" s="354" t="s">
        <v>2467</v>
      </c>
      <c r="D292" s="355" t="s">
        <v>2464</v>
      </c>
      <c r="E292" s="355" t="s">
        <v>2453</v>
      </c>
      <c r="F292" s="459">
        <v>168.95</v>
      </c>
      <c r="G292" s="458">
        <v>7</v>
      </c>
      <c r="H292" s="25">
        <f>AppleData[[#This Row],[Selling Price]]*$F$11*AppleData[[#This Row],[Quantity]]</f>
        <v>23.652999999999999</v>
      </c>
    </row>
    <row r="293" spans="2:8" x14ac:dyDescent="0.45">
      <c r="B293" s="457">
        <v>43820</v>
      </c>
      <c r="C293" s="354" t="s">
        <v>2462</v>
      </c>
      <c r="D293" s="355" t="s">
        <v>2458</v>
      </c>
      <c r="E293" s="355" t="s">
        <v>2456</v>
      </c>
      <c r="F293" s="459">
        <v>340.95</v>
      </c>
      <c r="G293" s="458">
        <v>7</v>
      </c>
      <c r="H293" s="25">
        <f>AppleData[[#This Row],[Selling Price]]*$F$11*AppleData[[#This Row],[Quantity]]</f>
        <v>47.732999999999997</v>
      </c>
    </row>
    <row r="294" spans="2:8" x14ac:dyDescent="0.45">
      <c r="B294" s="457">
        <v>43822</v>
      </c>
      <c r="C294" s="354" t="s">
        <v>2459</v>
      </c>
      <c r="D294" s="355" t="s">
        <v>2452</v>
      </c>
      <c r="E294" s="355" t="s">
        <v>2453</v>
      </c>
      <c r="F294" s="459">
        <v>168.95</v>
      </c>
      <c r="G294" s="458">
        <v>4</v>
      </c>
      <c r="H294" s="25">
        <f>AppleData[[#This Row],[Selling Price]]*$F$11*AppleData[[#This Row],[Quantity]]</f>
        <v>13.516</v>
      </c>
    </row>
    <row r="295" spans="2:8" x14ac:dyDescent="0.45">
      <c r="B295" s="457">
        <v>43822</v>
      </c>
      <c r="C295" s="354" t="s">
        <v>2462</v>
      </c>
      <c r="D295" s="355" t="s">
        <v>2449</v>
      </c>
      <c r="E295" s="355" t="s">
        <v>2456</v>
      </c>
      <c r="F295" s="459">
        <v>340.95</v>
      </c>
      <c r="G295" s="458">
        <v>11</v>
      </c>
      <c r="H295" s="25">
        <f>AppleData[[#This Row],[Selling Price]]*$F$11*AppleData[[#This Row],[Quantity]]</f>
        <v>75.009</v>
      </c>
    </row>
    <row r="296" spans="2:8" x14ac:dyDescent="0.45">
      <c r="B296" s="457">
        <v>43823</v>
      </c>
      <c r="C296" s="354" t="s">
        <v>2460</v>
      </c>
      <c r="D296" s="355" t="s">
        <v>2449</v>
      </c>
      <c r="E296" s="355" t="s">
        <v>2456</v>
      </c>
      <c r="F296" s="459">
        <v>340.95</v>
      </c>
      <c r="G296" s="458">
        <v>20</v>
      </c>
      <c r="H296" s="25">
        <f>AppleData[[#This Row],[Selling Price]]*$F$11*AppleData[[#This Row],[Quantity]]</f>
        <v>136.38</v>
      </c>
    </row>
    <row r="297" spans="2:8" x14ac:dyDescent="0.45">
      <c r="B297" s="457">
        <v>43823</v>
      </c>
      <c r="C297" s="354" t="s">
        <v>2451</v>
      </c>
      <c r="D297" s="355" t="s">
        <v>2458</v>
      </c>
      <c r="E297" s="355" t="s">
        <v>2450</v>
      </c>
      <c r="F297" s="459">
        <v>799.95</v>
      </c>
      <c r="G297" s="458">
        <v>9</v>
      </c>
      <c r="H297" s="25">
        <f>AppleData[[#This Row],[Selling Price]]*$F$11*AppleData[[#This Row],[Quantity]]</f>
        <v>143.99100000000001</v>
      </c>
    </row>
    <row r="298" spans="2:8" x14ac:dyDescent="0.45">
      <c r="B298" s="457">
        <v>43824</v>
      </c>
      <c r="C298" s="354" t="s">
        <v>2462</v>
      </c>
      <c r="D298" s="355" t="s">
        <v>2452</v>
      </c>
      <c r="E298" s="355" t="s">
        <v>2461</v>
      </c>
      <c r="F298" s="459">
        <v>340.95</v>
      </c>
      <c r="G298" s="458">
        <v>8</v>
      </c>
      <c r="H298" s="25">
        <f>AppleData[[#This Row],[Selling Price]]*$F$11*AppleData[[#This Row],[Quantity]]</f>
        <v>54.552</v>
      </c>
    </row>
    <row r="299" spans="2:8" x14ac:dyDescent="0.45">
      <c r="B299" s="457">
        <v>43824</v>
      </c>
      <c r="C299" s="354" t="s">
        <v>2462</v>
      </c>
      <c r="D299" s="355" t="s">
        <v>2455</v>
      </c>
      <c r="E299" s="355" t="s">
        <v>2461</v>
      </c>
      <c r="F299" s="459">
        <v>340.95</v>
      </c>
      <c r="G299" s="458">
        <v>1</v>
      </c>
      <c r="H299" s="25">
        <f>AppleData[[#This Row],[Selling Price]]*$F$11*AppleData[[#This Row],[Quantity]]</f>
        <v>6.819</v>
      </c>
    </row>
    <row r="300" spans="2:8" x14ac:dyDescent="0.45">
      <c r="B300" s="457">
        <v>43825</v>
      </c>
      <c r="C300" s="354" t="s">
        <v>2454</v>
      </c>
      <c r="D300" s="355" t="s">
        <v>2458</v>
      </c>
      <c r="E300" s="355" t="s">
        <v>2456</v>
      </c>
      <c r="F300" s="459">
        <v>340.95</v>
      </c>
      <c r="G300" s="458">
        <v>9</v>
      </c>
      <c r="H300" s="25">
        <f>AppleData[[#This Row],[Selling Price]]*$F$11*AppleData[[#This Row],[Quantity]]</f>
        <v>61.371000000000002</v>
      </c>
    </row>
    <row r="301" spans="2:8" x14ac:dyDescent="0.45">
      <c r="B301" s="457">
        <v>43826</v>
      </c>
      <c r="C301" s="354" t="s">
        <v>2454</v>
      </c>
      <c r="D301" s="355" t="s">
        <v>2449</v>
      </c>
      <c r="E301" s="355" t="s">
        <v>2461</v>
      </c>
      <c r="F301" s="459">
        <v>340.95</v>
      </c>
      <c r="G301" s="458">
        <v>13</v>
      </c>
      <c r="H301" s="25">
        <f>AppleData[[#This Row],[Selling Price]]*$F$11*AppleData[[#This Row],[Quantity]]</f>
        <v>88.647000000000006</v>
      </c>
    </row>
    <row r="302" spans="2:8" x14ac:dyDescent="0.45">
      <c r="B302" s="457">
        <v>43827</v>
      </c>
      <c r="C302" s="354" t="s">
        <v>2469</v>
      </c>
      <c r="D302" s="355" t="s">
        <v>2449</v>
      </c>
      <c r="E302" s="355" t="s">
        <v>2463</v>
      </c>
      <c r="F302" s="459">
        <v>79.989999999999995</v>
      </c>
      <c r="G302" s="458">
        <v>14</v>
      </c>
      <c r="H302" s="25">
        <f>AppleData[[#This Row],[Selling Price]]*$F$11*AppleData[[#This Row],[Quantity]]</f>
        <v>22.397199999999998</v>
      </c>
    </row>
    <row r="303" spans="2:8" x14ac:dyDescent="0.45">
      <c r="B303" s="457">
        <v>43828</v>
      </c>
      <c r="C303" s="354" t="s">
        <v>2466</v>
      </c>
      <c r="D303" s="355" t="s">
        <v>2449</v>
      </c>
      <c r="E303" s="355" t="s">
        <v>2461</v>
      </c>
      <c r="F303" s="459">
        <v>340.95</v>
      </c>
      <c r="G303" s="458">
        <v>14</v>
      </c>
      <c r="H303" s="25">
        <f>AppleData[[#This Row],[Selling Price]]*$F$11*AppleData[[#This Row],[Quantity]]</f>
        <v>95.465999999999994</v>
      </c>
    </row>
    <row r="304" spans="2:8" x14ac:dyDescent="0.45">
      <c r="B304" s="457">
        <v>43830</v>
      </c>
      <c r="C304" s="354" t="s">
        <v>2451</v>
      </c>
      <c r="D304" s="355" t="s">
        <v>2455</v>
      </c>
      <c r="E304" s="355" t="s">
        <v>2453</v>
      </c>
      <c r="F304" s="459">
        <v>168.95</v>
      </c>
      <c r="G304" s="458">
        <v>8</v>
      </c>
      <c r="H304" s="25">
        <f>AppleData[[#This Row],[Selling Price]]*$F$11*AppleData[[#This Row],[Quantity]]</f>
        <v>27.032</v>
      </c>
    </row>
    <row r="305" spans="2:8" x14ac:dyDescent="0.45">
      <c r="B305" s="457">
        <v>43830</v>
      </c>
      <c r="C305" s="354" t="s">
        <v>2454</v>
      </c>
      <c r="D305" s="355" t="s">
        <v>2449</v>
      </c>
      <c r="E305" s="355" t="s">
        <v>2461</v>
      </c>
      <c r="F305" s="459">
        <v>340.95</v>
      </c>
      <c r="G305" s="458">
        <v>8</v>
      </c>
      <c r="H305" s="25">
        <f>AppleData[[#This Row],[Selling Price]]*$F$11*AppleData[[#This Row],[Quantity]]</f>
        <v>54.552</v>
      </c>
    </row>
    <row r="306" spans="2:8" x14ac:dyDescent="0.45">
      <c r="B306" s="457">
        <v>43830</v>
      </c>
      <c r="C306" s="354" t="s">
        <v>2462</v>
      </c>
      <c r="D306" s="355" t="s">
        <v>2455</v>
      </c>
      <c r="E306" s="355" t="s">
        <v>2453</v>
      </c>
      <c r="F306" s="459">
        <v>168.95</v>
      </c>
      <c r="G306" s="458">
        <v>9</v>
      </c>
      <c r="H306" s="25">
        <f>AppleData[[#This Row],[Selling Price]]*$F$11*AppleData[[#This Row],[Quantity]]</f>
        <v>30.411000000000001</v>
      </c>
    </row>
    <row r="307" spans="2:8" x14ac:dyDescent="0.45">
      <c r="B307" s="457">
        <v>43830</v>
      </c>
      <c r="C307" s="354" t="s">
        <v>2459</v>
      </c>
      <c r="D307" s="355" t="s">
        <v>2458</v>
      </c>
      <c r="E307" s="355" t="s">
        <v>2461</v>
      </c>
      <c r="F307" s="459">
        <v>340.95</v>
      </c>
      <c r="G307" s="458">
        <v>15</v>
      </c>
      <c r="H307" s="25">
        <f>AppleData[[#This Row],[Selling Price]]*$F$11*AppleData[[#This Row],[Quantity]]</f>
        <v>102.285</v>
      </c>
    </row>
    <row r="308" spans="2:8" x14ac:dyDescent="0.45">
      <c r="B308" s="457">
        <v>43830</v>
      </c>
      <c r="C308" s="354" t="s">
        <v>2451</v>
      </c>
      <c r="D308" s="355" t="s">
        <v>2452</v>
      </c>
      <c r="E308" s="355" t="s">
        <v>2461</v>
      </c>
      <c r="F308" s="459">
        <v>340.95</v>
      </c>
      <c r="G308" s="458">
        <v>9</v>
      </c>
      <c r="H308" s="25">
        <f>AppleData[[#This Row],[Selling Price]]*$F$11*AppleData[[#This Row],[Quantity]]</f>
        <v>61.371000000000002</v>
      </c>
    </row>
    <row r="309" spans="2:8" x14ac:dyDescent="0.45">
      <c r="B309" s="457">
        <v>43831</v>
      </c>
      <c r="C309" s="354" t="s">
        <v>2469</v>
      </c>
      <c r="D309" s="355" t="s">
        <v>2452</v>
      </c>
      <c r="E309" s="355" t="s">
        <v>2453</v>
      </c>
      <c r="F309" s="459">
        <v>168.95</v>
      </c>
      <c r="G309" s="458">
        <v>3</v>
      </c>
      <c r="H309" s="25">
        <f>AppleData[[#This Row],[Selling Price]]*$F$11*AppleData[[#This Row],[Quantity]]</f>
        <v>10.137</v>
      </c>
    </row>
    <row r="310" spans="2:8" x14ac:dyDescent="0.45">
      <c r="B310" s="457">
        <v>43831</v>
      </c>
      <c r="C310" s="354" t="s">
        <v>2454</v>
      </c>
      <c r="D310" s="355" t="s">
        <v>2458</v>
      </c>
      <c r="E310" s="355" t="s">
        <v>2463</v>
      </c>
      <c r="F310" s="459">
        <v>79.989999999999995</v>
      </c>
      <c r="G310" s="458">
        <v>9</v>
      </c>
      <c r="H310" s="25">
        <f>AppleData[[#This Row],[Selling Price]]*$F$11*AppleData[[#This Row],[Quantity]]</f>
        <v>14.398199999999999</v>
      </c>
    </row>
    <row r="311" spans="2:8" x14ac:dyDescent="0.45">
      <c r="B311" s="457">
        <v>43831</v>
      </c>
      <c r="C311" s="354" t="s">
        <v>2448</v>
      </c>
      <c r="D311" s="355" t="s">
        <v>2449</v>
      </c>
      <c r="E311" s="355" t="s">
        <v>2450</v>
      </c>
      <c r="F311" s="459">
        <v>799.95</v>
      </c>
      <c r="G311" s="458">
        <v>10</v>
      </c>
      <c r="H311" s="25">
        <f>AppleData[[#This Row],[Selling Price]]*$F$11*AppleData[[#This Row],[Quantity]]</f>
        <v>159.99</v>
      </c>
    </row>
    <row r="312" spans="2:8" x14ac:dyDescent="0.45">
      <c r="B312" s="457">
        <v>43831</v>
      </c>
      <c r="C312" s="354" t="s">
        <v>2466</v>
      </c>
      <c r="D312" s="355" t="s">
        <v>2458</v>
      </c>
      <c r="E312" s="355" t="s">
        <v>2463</v>
      </c>
      <c r="F312" s="459">
        <v>79.989999999999995</v>
      </c>
      <c r="G312" s="458">
        <v>13</v>
      </c>
      <c r="H312" s="25">
        <f>AppleData[[#This Row],[Selling Price]]*$F$11*AppleData[[#This Row],[Quantity]]</f>
        <v>20.7974</v>
      </c>
    </row>
    <row r="313" spans="2:8" x14ac:dyDescent="0.45">
      <c r="B313" s="457">
        <v>43832</v>
      </c>
      <c r="C313" s="354" t="s">
        <v>2469</v>
      </c>
      <c r="D313" s="355" t="s">
        <v>2455</v>
      </c>
      <c r="E313" s="355" t="s">
        <v>2453</v>
      </c>
      <c r="F313" s="459">
        <v>168.95</v>
      </c>
      <c r="G313" s="458">
        <v>4</v>
      </c>
      <c r="H313" s="25">
        <f>AppleData[[#This Row],[Selling Price]]*$F$11*AppleData[[#This Row],[Quantity]]</f>
        <v>13.516</v>
      </c>
    </row>
    <row r="314" spans="2:8" x14ac:dyDescent="0.45">
      <c r="B314" s="457">
        <v>43833</v>
      </c>
      <c r="C314" s="354" t="s">
        <v>2465</v>
      </c>
      <c r="D314" s="355" t="s">
        <v>2455</v>
      </c>
      <c r="E314" s="355" t="s">
        <v>2450</v>
      </c>
      <c r="F314" s="459">
        <v>799.95</v>
      </c>
      <c r="G314" s="458">
        <v>6</v>
      </c>
      <c r="H314" s="25">
        <f>AppleData[[#This Row],[Selling Price]]*$F$11*AppleData[[#This Row],[Quantity]]</f>
        <v>95.994</v>
      </c>
    </row>
    <row r="315" spans="2:8" x14ac:dyDescent="0.45">
      <c r="B315" s="457">
        <v>43833</v>
      </c>
      <c r="C315" s="354" t="s">
        <v>2451</v>
      </c>
      <c r="D315" s="355" t="s">
        <v>2464</v>
      </c>
      <c r="E315" s="355" t="s">
        <v>2450</v>
      </c>
      <c r="F315" s="459">
        <v>799.95</v>
      </c>
      <c r="G315" s="458">
        <v>5</v>
      </c>
      <c r="H315" s="25">
        <f>AppleData[[#This Row],[Selling Price]]*$F$11*AppleData[[#This Row],[Quantity]]</f>
        <v>79.995000000000005</v>
      </c>
    </row>
    <row r="316" spans="2:8" x14ac:dyDescent="0.45">
      <c r="B316" s="457">
        <v>43834</v>
      </c>
      <c r="C316" s="354" t="s">
        <v>2448</v>
      </c>
      <c r="D316" s="355" t="s">
        <v>2458</v>
      </c>
      <c r="E316" s="355" t="s">
        <v>2456</v>
      </c>
      <c r="F316" s="459">
        <v>340.95</v>
      </c>
      <c r="G316" s="458">
        <v>6</v>
      </c>
      <c r="H316" s="25">
        <f>AppleData[[#This Row],[Selling Price]]*$F$11*AppleData[[#This Row],[Quantity]]</f>
        <v>40.914000000000001</v>
      </c>
    </row>
    <row r="317" spans="2:8" x14ac:dyDescent="0.45">
      <c r="B317" s="457">
        <v>43834</v>
      </c>
      <c r="C317" s="354" t="s">
        <v>2454</v>
      </c>
      <c r="D317" s="355" t="s">
        <v>2455</v>
      </c>
      <c r="E317" s="355" t="s">
        <v>2456</v>
      </c>
      <c r="F317" s="459">
        <v>340.95</v>
      </c>
      <c r="G317" s="458">
        <v>8</v>
      </c>
      <c r="H317" s="25">
        <f>AppleData[[#This Row],[Selling Price]]*$F$11*AppleData[[#This Row],[Quantity]]</f>
        <v>54.552</v>
      </c>
    </row>
    <row r="318" spans="2:8" x14ac:dyDescent="0.45">
      <c r="B318" s="457">
        <v>43835</v>
      </c>
      <c r="C318" s="354" t="s">
        <v>2462</v>
      </c>
      <c r="D318" s="355" t="s">
        <v>2455</v>
      </c>
      <c r="E318" s="355" t="s">
        <v>2463</v>
      </c>
      <c r="F318" s="459">
        <v>79.989999999999995</v>
      </c>
      <c r="G318" s="458">
        <v>11</v>
      </c>
      <c r="H318" s="25">
        <f>AppleData[[#This Row],[Selling Price]]*$F$11*AppleData[[#This Row],[Quantity]]</f>
        <v>17.597799999999999</v>
      </c>
    </row>
    <row r="319" spans="2:8" x14ac:dyDescent="0.45">
      <c r="B319" s="457">
        <v>43835</v>
      </c>
      <c r="C319" s="354" t="s">
        <v>2454</v>
      </c>
      <c r="D319" s="355" t="s">
        <v>2464</v>
      </c>
      <c r="E319" s="355" t="s">
        <v>2463</v>
      </c>
      <c r="F319" s="459">
        <v>79.989999999999995</v>
      </c>
      <c r="G319" s="458">
        <v>20</v>
      </c>
      <c r="H319" s="25">
        <f>AppleData[[#This Row],[Selling Price]]*$F$11*AppleData[[#This Row],[Quantity]]</f>
        <v>31.995999999999999</v>
      </c>
    </row>
    <row r="320" spans="2:8" x14ac:dyDescent="0.45">
      <c r="B320" s="457">
        <v>43836</v>
      </c>
      <c r="C320" s="354" t="s">
        <v>2462</v>
      </c>
      <c r="D320" s="355" t="s">
        <v>2458</v>
      </c>
      <c r="E320" s="355" t="s">
        <v>2461</v>
      </c>
      <c r="F320" s="459">
        <v>340.95</v>
      </c>
      <c r="G320" s="458">
        <v>11</v>
      </c>
      <c r="H320" s="25">
        <f>AppleData[[#This Row],[Selling Price]]*$F$11*AppleData[[#This Row],[Quantity]]</f>
        <v>75.009</v>
      </c>
    </row>
    <row r="321" spans="2:8" x14ac:dyDescent="0.45">
      <c r="B321" s="457">
        <v>43836</v>
      </c>
      <c r="C321" s="354" t="s">
        <v>2448</v>
      </c>
      <c r="D321" s="355" t="s">
        <v>2449</v>
      </c>
      <c r="E321" s="355" t="s">
        <v>2453</v>
      </c>
      <c r="F321" s="459">
        <v>168.95</v>
      </c>
      <c r="G321" s="458">
        <v>12</v>
      </c>
      <c r="H321" s="25">
        <f>AppleData[[#This Row],[Selling Price]]*$F$11*AppleData[[#This Row],[Quantity]]</f>
        <v>40.548000000000002</v>
      </c>
    </row>
    <row r="322" spans="2:8" x14ac:dyDescent="0.45">
      <c r="B322" s="457">
        <v>43837</v>
      </c>
      <c r="C322" s="354" t="s">
        <v>2469</v>
      </c>
      <c r="D322" s="355" t="s">
        <v>2458</v>
      </c>
      <c r="E322" s="355" t="s">
        <v>2450</v>
      </c>
      <c r="F322" s="459">
        <v>799.95</v>
      </c>
      <c r="G322" s="458">
        <v>2</v>
      </c>
      <c r="H322" s="25">
        <f>AppleData[[#This Row],[Selling Price]]*$F$11*AppleData[[#This Row],[Quantity]]</f>
        <v>31.998000000000001</v>
      </c>
    </row>
    <row r="323" spans="2:8" x14ac:dyDescent="0.45">
      <c r="B323" s="457">
        <v>43838</v>
      </c>
      <c r="C323" s="354" t="s">
        <v>2460</v>
      </c>
      <c r="D323" s="355" t="s">
        <v>2464</v>
      </c>
      <c r="E323" s="355" t="s">
        <v>2463</v>
      </c>
      <c r="F323" s="459">
        <v>79.989999999999995</v>
      </c>
      <c r="G323" s="458">
        <v>17</v>
      </c>
      <c r="H323" s="25">
        <f>AppleData[[#This Row],[Selling Price]]*$F$11*AppleData[[#This Row],[Quantity]]</f>
        <v>27.196599999999997</v>
      </c>
    </row>
    <row r="324" spans="2:8" x14ac:dyDescent="0.45">
      <c r="B324" s="457">
        <v>43838</v>
      </c>
      <c r="C324" s="354" t="s">
        <v>2457</v>
      </c>
      <c r="D324" s="355" t="s">
        <v>2458</v>
      </c>
      <c r="E324" s="355" t="s">
        <v>2450</v>
      </c>
      <c r="F324" s="459">
        <v>799.95</v>
      </c>
      <c r="G324" s="458">
        <v>8</v>
      </c>
      <c r="H324" s="25">
        <f>AppleData[[#This Row],[Selling Price]]*$F$11*AppleData[[#This Row],[Quantity]]</f>
        <v>127.992</v>
      </c>
    </row>
    <row r="325" spans="2:8" x14ac:dyDescent="0.45">
      <c r="B325" s="457">
        <v>43838</v>
      </c>
      <c r="C325" s="354" t="s">
        <v>2451</v>
      </c>
      <c r="D325" s="355" t="s">
        <v>2458</v>
      </c>
      <c r="E325" s="355" t="s">
        <v>2456</v>
      </c>
      <c r="F325" s="459">
        <v>340.95</v>
      </c>
      <c r="G325" s="458">
        <v>14</v>
      </c>
      <c r="H325" s="25">
        <f>AppleData[[#This Row],[Selling Price]]*$F$11*AppleData[[#This Row],[Quantity]]</f>
        <v>95.465999999999994</v>
      </c>
    </row>
    <row r="326" spans="2:8" x14ac:dyDescent="0.45">
      <c r="B326" s="457">
        <v>43838</v>
      </c>
      <c r="C326" s="354" t="s">
        <v>2457</v>
      </c>
      <c r="D326" s="355" t="s">
        <v>2458</v>
      </c>
      <c r="E326" s="355" t="s">
        <v>2463</v>
      </c>
      <c r="F326" s="459">
        <v>79.989999999999995</v>
      </c>
      <c r="G326" s="458">
        <v>1</v>
      </c>
      <c r="H326" s="25">
        <f>AppleData[[#This Row],[Selling Price]]*$F$11*AppleData[[#This Row],[Quantity]]</f>
        <v>1.5997999999999999</v>
      </c>
    </row>
    <row r="327" spans="2:8" x14ac:dyDescent="0.45">
      <c r="B327" s="457">
        <v>43838</v>
      </c>
      <c r="C327" s="354" t="s">
        <v>2454</v>
      </c>
      <c r="D327" s="355" t="s">
        <v>2455</v>
      </c>
      <c r="E327" s="355" t="s">
        <v>2461</v>
      </c>
      <c r="F327" s="459">
        <v>340.95</v>
      </c>
      <c r="G327" s="458">
        <v>4</v>
      </c>
      <c r="H327" s="25">
        <f>AppleData[[#This Row],[Selling Price]]*$F$11*AppleData[[#This Row],[Quantity]]</f>
        <v>27.276</v>
      </c>
    </row>
    <row r="328" spans="2:8" x14ac:dyDescent="0.45">
      <c r="B328" s="457">
        <v>43838</v>
      </c>
      <c r="C328" s="354" t="s">
        <v>2466</v>
      </c>
      <c r="D328" s="355" t="s">
        <v>2458</v>
      </c>
      <c r="E328" s="355" t="s">
        <v>2450</v>
      </c>
      <c r="F328" s="459">
        <v>799.95</v>
      </c>
      <c r="G328" s="458">
        <v>20</v>
      </c>
      <c r="H328" s="25">
        <f>AppleData[[#This Row],[Selling Price]]*$F$11*AppleData[[#This Row],[Quantity]]</f>
        <v>319.98</v>
      </c>
    </row>
    <row r="329" spans="2:8" x14ac:dyDescent="0.45">
      <c r="B329" s="457">
        <v>43839</v>
      </c>
      <c r="C329" s="354" t="s">
        <v>2451</v>
      </c>
      <c r="D329" s="355" t="s">
        <v>2458</v>
      </c>
      <c r="E329" s="355" t="s">
        <v>2461</v>
      </c>
      <c r="F329" s="459">
        <v>340.95</v>
      </c>
      <c r="G329" s="458">
        <v>8</v>
      </c>
      <c r="H329" s="25">
        <f>AppleData[[#This Row],[Selling Price]]*$F$11*AppleData[[#This Row],[Quantity]]</f>
        <v>54.552</v>
      </c>
    </row>
    <row r="330" spans="2:8" x14ac:dyDescent="0.45">
      <c r="B330" s="457">
        <v>43839</v>
      </c>
      <c r="C330" s="354" t="s">
        <v>2459</v>
      </c>
      <c r="D330" s="355" t="s">
        <v>2449</v>
      </c>
      <c r="E330" s="355" t="s">
        <v>2450</v>
      </c>
      <c r="F330" s="459">
        <v>799.95</v>
      </c>
      <c r="G330" s="458">
        <v>6</v>
      </c>
      <c r="H330" s="25">
        <f>AppleData[[#This Row],[Selling Price]]*$F$11*AppleData[[#This Row],[Quantity]]</f>
        <v>95.994</v>
      </c>
    </row>
    <row r="331" spans="2:8" x14ac:dyDescent="0.45">
      <c r="B331" s="457">
        <v>43840</v>
      </c>
      <c r="C331" s="354" t="s">
        <v>2468</v>
      </c>
      <c r="D331" s="355" t="s">
        <v>2455</v>
      </c>
      <c r="E331" s="355" t="s">
        <v>2450</v>
      </c>
      <c r="F331" s="459">
        <v>799.95</v>
      </c>
      <c r="G331" s="458">
        <v>2</v>
      </c>
      <c r="H331" s="25">
        <f>AppleData[[#This Row],[Selling Price]]*$F$11*AppleData[[#This Row],[Quantity]]</f>
        <v>31.998000000000001</v>
      </c>
    </row>
    <row r="332" spans="2:8" x14ac:dyDescent="0.45">
      <c r="B332" s="457">
        <v>43841</v>
      </c>
      <c r="C332" s="354" t="s">
        <v>2469</v>
      </c>
      <c r="D332" s="355" t="s">
        <v>2452</v>
      </c>
      <c r="E332" s="355" t="s">
        <v>2456</v>
      </c>
      <c r="F332" s="459">
        <v>340.95</v>
      </c>
      <c r="G332" s="458">
        <v>2</v>
      </c>
      <c r="H332" s="25">
        <f>AppleData[[#This Row],[Selling Price]]*$F$11*AppleData[[#This Row],[Quantity]]</f>
        <v>13.638</v>
      </c>
    </row>
    <row r="333" spans="2:8" x14ac:dyDescent="0.45">
      <c r="B333" s="457">
        <v>43841</v>
      </c>
      <c r="C333" s="354" t="s">
        <v>2468</v>
      </c>
      <c r="D333" s="355" t="s">
        <v>2458</v>
      </c>
      <c r="E333" s="355" t="s">
        <v>2456</v>
      </c>
      <c r="F333" s="459">
        <v>340.95</v>
      </c>
      <c r="G333" s="458">
        <v>15</v>
      </c>
      <c r="H333" s="25">
        <f>AppleData[[#This Row],[Selling Price]]*$F$11*AppleData[[#This Row],[Quantity]]</f>
        <v>102.285</v>
      </c>
    </row>
    <row r="334" spans="2:8" x14ac:dyDescent="0.45">
      <c r="B334" s="457">
        <v>43841</v>
      </c>
      <c r="C334" s="354" t="s">
        <v>2448</v>
      </c>
      <c r="D334" s="355" t="s">
        <v>2455</v>
      </c>
      <c r="E334" s="355" t="s">
        <v>2453</v>
      </c>
      <c r="F334" s="459">
        <v>168.95</v>
      </c>
      <c r="G334" s="458">
        <v>18</v>
      </c>
      <c r="H334" s="25">
        <f>AppleData[[#This Row],[Selling Price]]*$F$11*AppleData[[#This Row],[Quantity]]</f>
        <v>60.822000000000003</v>
      </c>
    </row>
    <row r="335" spans="2:8" x14ac:dyDescent="0.45">
      <c r="B335" s="457">
        <v>43841</v>
      </c>
      <c r="C335" s="354" t="s">
        <v>2468</v>
      </c>
      <c r="D335" s="355" t="s">
        <v>2449</v>
      </c>
      <c r="E335" s="355" t="s">
        <v>2453</v>
      </c>
      <c r="F335" s="459">
        <v>168.95</v>
      </c>
      <c r="G335" s="458">
        <v>8</v>
      </c>
      <c r="H335" s="25">
        <f>AppleData[[#This Row],[Selling Price]]*$F$11*AppleData[[#This Row],[Quantity]]</f>
        <v>27.032</v>
      </c>
    </row>
    <row r="336" spans="2:8" x14ac:dyDescent="0.45">
      <c r="B336" s="457">
        <v>43841</v>
      </c>
      <c r="C336" s="354" t="s">
        <v>2462</v>
      </c>
      <c r="D336" s="355" t="s">
        <v>2455</v>
      </c>
      <c r="E336" s="355" t="s">
        <v>2461</v>
      </c>
      <c r="F336" s="459">
        <v>340.95</v>
      </c>
      <c r="G336" s="458">
        <v>9</v>
      </c>
      <c r="H336" s="25">
        <f>AppleData[[#This Row],[Selling Price]]*$F$11*AppleData[[#This Row],[Quantity]]</f>
        <v>61.371000000000002</v>
      </c>
    </row>
    <row r="337" spans="2:8" x14ac:dyDescent="0.45">
      <c r="B337" s="457">
        <v>43842</v>
      </c>
      <c r="C337" s="354" t="s">
        <v>2457</v>
      </c>
      <c r="D337" s="355" t="s">
        <v>2458</v>
      </c>
      <c r="E337" s="355" t="s">
        <v>2450</v>
      </c>
      <c r="F337" s="459">
        <v>799.95</v>
      </c>
      <c r="G337" s="458">
        <v>11</v>
      </c>
      <c r="H337" s="25">
        <f>AppleData[[#This Row],[Selling Price]]*$F$11*AppleData[[#This Row],[Quantity]]</f>
        <v>175.989</v>
      </c>
    </row>
    <row r="338" spans="2:8" x14ac:dyDescent="0.45">
      <c r="B338" s="457">
        <v>43842</v>
      </c>
      <c r="C338" s="354" t="s">
        <v>2460</v>
      </c>
      <c r="D338" s="355" t="s">
        <v>2452</v>
      </c>
      <c r="E338" s="355" t="s">
        <v>2450</v>
      </c>
      <c r="F338" s="459">
        <v>799.95</v>
      </c>
      <c r="G338" s="458">
        <v>8</v>
      </c>
      <c r="H338" s="25">
        <f>AppleData[[#This Row],[Selling Price]]*$F$11*AppleData[[#This Row],[Quantity]]</f>
        <v>127.992</v>
      </c>
    </row>
    <row r="339" spans="2:8" x14ac:dyDescent="0.45">
      <c r="B339" s="457">
        <v>43842</v>
      </c>
      <c r="C339" s="354" t="s">
        <v>2448</v>
      </c>
      <c r="D339" s="355" t="s">
        <v>2464</v>
      </c>
      <c r="E339" s="355" t="s">
        <v>2456</v>
      </c>
      <c r="F339" s="459">
        <v>340.95</v>
      </c>
      <c r="G339" s="458">
        <v>6</v>
      </c>
      <c r="H339" s="25">
        <f>AppleData[[#This Row],[Selling Price]]*$F$11*AppleData[[#This Row],[Quantity]]</f>
        <v>40.914000000000001</v>
      </c>
    </row>
    <row r="340" spans="2:8" x14ac:dyDescent="0.45">
      <c r="B340" s="457">
        <v>43842</v>
      </c>
      <c r="C340" s="354" t="s">
        <v>2460</v>
      </c>
      <c r="D340" s="355" t="s">
        <v>2452</v>
      </c>
      <c r="E340" s="355" t="s">
        <v>2463</v>
      </c>
      <c r="F340" s="459">
        <v>79.989999999999995</v>
      </c>
      <c r="G340" s="458">
        <v>11</v>
      </c>
      <c r="H340" s="25">
        <f>AppleData[[#This Row],[Selling Price]]*$F$11*AppleData[[#This Row],[Quantity]]</f>
        <v>17.597799999999999</v>
      </c>
    </row>
    <row r="341" spans="2:8" x14ac:dyDescent="0.45">
      <c r="B341" s="457">
        <v>43842</v>
      </c>
      <c r="C341" s="354" t="s">
        <v>2467</v>
      </c>
      <c r="D341" s="355" t="s">
        <v>2464</v>
      </c>
      <c r="E341" s="355" t="s">
        <v>2450</v>
      </c>
      <c r="F341" s="459">
        <v>799.95</v>
      </c>
      <c r="G341" s="458">
        <v>10</v>
      </c>
      <c r="H341" s="25">
        <f>AppleData[[#This Row],[Selling Price]]*$F$11*AppleData[[#This Row],[Quantity]]</f>
        <v>159.99</v>
      </c>
    </row>
    <row r="342" spans="2:8" x14ac:dyDescent="0.45">
      <c r="B342" s="457">
        <v>43842</v>
      </c>
      <c r="C342" s="354" t="s">
        <v>2459</v>
      </c>
      <c r="D342" s="355" t="s">
        <v>2464</v>
      </c>
      <c r="E342" s="355" t="s">
        <v>2461</v>
      </c>
      <c r="F342" s="459">
        <v>340.95</v>
      </c>
      <c r="G342" s="458">
        <v>15</v>
      </c>
      <c r="H342" s="25">
        <f>AppleData[[#This Row],[Selling Price]]*$F$11*AppleData[[#This Row],[Quantity]]</f>
        <v>102.285</v>
      </c>
    </row>
    <row r="343" spans="2:8" x14ac:dyDescent="0.45">
      <c r="B343" s="457">
        <v>43842</v>
      </c>
      <c r="C343" s="354" t="s">
        <v>2468</v>
      </c>
      <c r="D343" s="355" t="s">
        <v>2458</v>
      </c>
      <c r="E343" s="355" t="s">
        <v>2456</v>
      </c>
      <c r="F343" s="459">
        <v>340.95</v>
      </c>
      <c r="G343" s="458">
        <v>1</v>
      </c>
      <c r="H343" s="25">
        <f>AppleData[[#This Row],[Selling Price]]*$F$11*AppleData[[#This Row],[Quantity]]</f>
        <v>6.819</v>
      </c>
    </row>
    <row r="344" spans="2:8" x14ac:dyDescent="0.45">
      <c r="B344" s="457">
        <v>43843</v>
      </c>
      <c r="C344" s="354" t="s">
        <v>2462</v>
      </c>
      <c r="D344" s="355" t="s">
        <v>2458</v>
      </c>
      <c r="E344" s="355" t="s">
        <v>2453</v>
      </c>
      <c r="F344" s="459">
        <v>168.95</v>
      </c>
      <c r="G344" s="458">
        <v>10</v>
      </c>
      <c r="H344" s="25">
        <f>AppleData[[#This Row],[Selling Price]]*$F$11*AppleData[[#This Row],[Quantity]]</f>
        <v>33.79</v>
      </c>
    </row>
    <row r="345" spans="2:8" x14ac:dyDescent="0.45">
      <c r="B345" s="457">
        <v>43843</v>
      </c>
      <c r="C345" s="354" t="s">
        <v>2465</v>
      </c>
      <c r="D345" s="355" t="s">
        <v>2452</v>
      </c>
      <c r="E345" s="355" t="s">
        <v>2456</v>
      </c>
      <c r="F345" s="459">
        <v>340.95</v>
      </c>
      <c r="G345" s="458">
        <v>4</v>
      </c>
      <c r="H345" s="25">
        <f>AppleData[[#This Row],[Selling Price]]*$F$11*AppleData[[#This Row],[Quantity]]</f>
        <v>27.276</v>
      </c>
    </row>
    <row r="346" spans="2:8" x14ac:dyDescent="0.45">
      <c r="B346" s="457">
        <v>43843</v>
      </c>
      <c r="C346" s="354" t="s">
        <v>2462</v>
      </c>
      <c r="D346" s="355" t="s">
        <v>2452</v>
      </c>
      <c r="E346" s="355" t="s">
        <v>2463</v>
      </c>
      <c r="F346" s="459">
        <v>79.989999999999995</v>
      </c>
      <c r="G346" s="458">
        <v>7</v>
      </c>
      <c r="H346" s="25">
        <f>AppleData[[#This Row],[Selling Price]]*$F$11*AppleData[[#This Row],[Quantity]]</f>
        <v>11.198599999999999</v>
      </c>
    </row>
    <row r="347" spans="2:8" x14ac:dyDescent="0.45">
      <c r="B347" s="457">
        <v>43843</v>
      </c>
      <c r="C347" s="354" t="s">
        <v>2451</v>
      </c>
      <c r="D347" s="355" t="s">
        <v>2458</v>
      </c>
      <c r="E347" s="355" t="s">
        <v>2461</v>
      </c>
      <c r="F347" s="459">
        <v>340.95</v>
      </c>
      <c r="G347" s="458">
        <v>14</v>
      </c>
      <c r="H347" s="25">
        <f>AppleData[[#This Row],[Selling Price]]*$F$11*AppleData[[#This Row],[Quantity]]</f>
        <v>95.465999999999994</v>
      </c>
    </row>
    <row r="348" spans="2:8" x14ac:dyDescent="0.45">
      <c r="B348" s="457">
        <v>43843</v>
      </c>
      <c r="C348" s="354" t="s">
        <v>2465</v>
      </c>
      <c r="D348" s="355" t="s">
        <v>2458</v>
      </c>
      <c r="E348" s="355" t="s">
        <v>2453</v>
      </c>
      <c r="F348" s="459">
        <v>168.95</v>
      </c>
      <c r="G348" s="458">
        <v>15</v>
      </c>
      <c r="H348" s="25">
        <f>AppleData[[#This Row],[Selling Price]]*$F$11*AppleData[[#This Row],[Quantity]]</f>
        <v>50.685000000000002</v>
      </c>
    </row>
    <row r="349" spans="2:8" x14ac:dyDescent="0.45">
      <c r="B349" s="457">
        <v>43844</v>
      </c>
      <c r="C349" s="354" t="s">
        <v>2462</v>
      </c>
      <c r="D349" s="355" t="s">
        <v>2458</v>
      </c>
      <c r="E349" s="355" t="s">
        <v>2450</v>
      </c>
      <c r="F349" s="459">
        <v>799.95</v>
      </c>
      <c r="G349" s="458">
        <v>14</v>
      </c>
      <c r="H349" s="25">
        <f>AppleData[[#This Row],[Selling Price]]*$F$11*AppleData[[#This Row],[Quantity]]</f>
        <v>223.98600000000002</v>
      </c>
    </row>
    <row r="350" spans="2:8" x14ac:dyDescent="0.45">
      <c r="B350" s="457">
        <v>43844</v>
      </c>
      <c r="C350" s="354" t="s">
        <v>2454</v>
      </c>
      <c r="D350" s="355" t="s">
        <v>2458</v>
      </c>
      <c r="E350" s="355" t="s">
        <v>2461</v>
      </c>
      <c r="F350" s="459">
        <v>340.95</v>
      </c>
      <c r="G350" s="458">
        <v>6</v>
      </c>
      <c r="H350" s="25">
        <f>AppleData[[#This Row],[Selling Price]]*$F$11*AppleData[[#This Row],[Quantity]]</f>
        <v>40.914000000000001</v>
      </c>
    </row>
    <row r="351" spans="2:8" x14ac:dyDescent="0.45">
      <c r="B351" s="457">
        <v>43844</v>
      </c>
      <c r="C351" s="354" t="s">
        <v>2465</v>
      </c>
      <c r="D351" s="355" t="s">
        <v>2455</v>
      </c>
      <c r="E351" s="355" t="s">
        <v>2453</v>
      </c>
      <c r="F351" s="459">
        <v>168.95</v>
      </c>
      <c r="G351" s="458">
        <v>14</v>
      </c>
      <c r="H351" s="25">
        <f>AppleData[[#This Row],[Selling Price]]*$F$11*AppleData[[#This Row],[Quantity]]</f>
        <v>47.305999999999997</v>
      </c>
    </row>
    <row r="352" spans="2:8" x14ac:dyDescent="0.45">
      <c r="B352" s="457">
        <v>43844</v>
      </c>
      <c r="C352" s="354" t="s">
        <v>2465</v>
      </c>
      <c r="D352" s="355" t="s">
        <v>2452</v>
      </c>
      <c r="E352" s="355" t="s">
        <v>2453</v>
      </c>
      <c r="F352" s="459">
        <v>168.95</v>
      </c>
      <c r="G352" s="458">
        <v>5</v>
      </c>
      <c r="H352" s="25">
        <f>AppleData[[#This Row],[Selling Price]]*$F$11*AppleData[[#This Row],[Quantity]]</f>
        <v>16.895</v>
      </c>
    </row>
    <row r="353" spans="2:8" x14ac:dyDescent="0.45">
      <c r="B353" s="457">
        <v>43844</v>
      </c>
      <c r="C353" s="354" t="s">
        <v>2468</v>
      </c>
      <c r="D353" s="355" t="s">
        <v>2464</v>
      </c>
      <c r="E353" s="355" t="s">
        <v>2453</v>
      </c>
      <c r="F353" s="459">
        <v>168.95</v>
      </c>
      <c r="G353" s="458">
        <v>9</v>
      </c>
      <c r="H353" s="25">
        <f>AppleData[[#This Row],[Selling Price]]*$F$11*AppleData[[#This Row],[Quantity]]</f>
        <v>30.411000000000001</v>
      </c>
    </row>
    <row r="354" spans="2:8" x14ac:dyDescent="0.45">
      <c r="B354" s="457">
        <v>43845</v>
      </c>
      <c r="C354" s="354" t="s">
        <v>2451</v>
      </c>
      <c r="D354" s="355" t="s">
        <v>2449</v>
      </c>
      <c r="E354" s="355" t="s">
        <v>2453</v>
      </c>
      <c r="F354" s="459">
        <v>168.95</v>
      </c>
      <c r="G354" s="458">
        <v>11</v>
      </c>
      <c r="H354" s="25">
        <f>AppleData[[#This Row],[Selling Price]]*$F$11*AppleData[[#This Row],[Quantity]]</f>
        <v>37.168999999999997</v>
      </c>
    </row>
    <row r="355" spans="2:8" x14ac:dyDescent="0.45">
      <c r="B355" s="457">
        <v>43845</v>
      </c>
      <c r="C355" s="354" t="s">
        <v>2460</v>
      </c>
      <c r="D355" s="355" t="s">
        <v>2452</v>
      </c>
      <c r="E355" s="355" t="s">
        <v>2463</v>
      </c>
      <c r="F355" s="459">
        <v>79.989999999999995</v>
      </c>
      <c r="G355" s="458">
        <v>3</v>
      </c>
      <c r="H355" s="25">
        <f>AppleData[[#This Row],[Selling Price]]*$F$11*AppleData[[#This Row],[Quantity]]</f>
        <v>4.7993999999999994</v>
      </c>
    </row>
    <row r="356" spans="2:8" x14ac:dyDescent="0.45">
      <c r="B356" s="457">
        <v>43846</v>
      </c>
      <c r="C356" s="354" t="s">
        <v>2469</v>
      </c>
      <c r="D356" s="355" t="s">
        <v>2464</v>
      </c>
      <c r="E356" s="355" t="s">
        <v>2456</v>
      </c>
      <c r="F356" s="459">
        <v>340.95</v>
      </c>
      <c r="G356" s="458">
        <v>6</v>
      </c>
      <c r="H356" s="25">
        <f>AppleData[[#This Row],[Selling Price]]*$F$11*AppleData[[#This Row],[Quantity]]</f>
        <v>40.914000000000001</v>
      </c>
    </row>
    <row r="357" spans="2:8" x14ac:dyDescent="0.45">
      <c r="B357" s="457">
        <v>43846</v>
      </c>
      <c r="C357" s="354" t="s">
        <v>2451</v>
      </c>
      <c r="D357" s="355" t="s">
        <v>2452</v>
      </c>
      <c r="E357" s="355" t="s">
        <v>2463</v>
      </c>
      <c r="F357" s="459">
        <v>79.989999999999995</v>
      </c>
      <c r="G357" s="458">
        <v>6</v>
      </c>
      <c r="H357" s="25">
        <f>AppleData[[#This Row],[Selling Price]]*$F$11*AppleData[[#This Row],[Quantity]]</f>
        <v>9.5987999999999989</v>
      </c>
    </row>
    <row r="358" spans="2:8" x14ac:dyDescent="0.45">
      <c r="B358" s="457">
        <v>43847</v>
      </c>
      <c r="C358" s="354" t="s">
        <v>2467</v>
      </c>
      <c r="D358" s="355" t="s">
        <v>2458</v>
      </c>
      <c r="E358" s="355" t="s">
        <v>2450</v>
      </c>
      <c r="F358" s="459">
        <v>799.95</v>
      </c>
      <c r="G358" s="458">
        <v>5</v>
      </c>
      <c r="H358" s="25">
        <f>AppleData[[#This Row],[Selling Price]]*$F$11*AppleData[[#This Row],[Quantity]]</f>
        <v>79.995000000000005</v>
      </c>
    </row>
    <row r="359" spans="2:8" x14ac:dyDescent="0.45">
      <c r="B359" s="457">
        <v>43847</v>
      </c>
      <c r="C359" s="354" t="s">
        <v>2448</v>
      </c>
      <c r="D359" s="355" t="s">
        <v>2455</v>
      </c>
      <c r="E359" s="355" t="s">
        <v>2456</v>
      </c>
      <c r="F359" s="459">
        <v>340.95</v>
      </c>
      <c r="G359" s="458">
        <v>15</v>
      </c>
      <c r="H359" s="25">
        <f>AppleData[[#This Row],[Selling Price]]*$F$11*AppleData[[#This Row],[Quantity]]</f>
        <v>102.285</v>
      </c>
    </row>
    <row r="360" spans="2:8" x14ac:dyDescent="0.45">
      <c r="B360" s="457">
        <v>43848</v>
      </c>
      <c r="C360" s="354" t="s">
        <v>2462</v>
      </c>
      <c r="D360" s="355" t="s">
        <v>2449</v>
      </c>
      <c r="E360" s="355" t="s">
        <v>2453</v>
      </c>
      <c r="F360" s="459">
        <v>168.95</v>
      </c>
      <c r="G360" s="458">
        <v>3</v>
      </c>
      <c r="H360" s="25">
        <f>AppleData[[#This Row],[Selling Price]]*$F$11*AppleData[[#This Row],[Quantity]]</f>
        <v>10.137</v>
      </c>
    </row>
    <row r="361" spans="2:8" x14ac:dyDescent="0.45">
      <c r="B361" s="457">
        <v>43848</v>
      </c>
      <c r="C361" s="354" t="s">
        <v>2459</v>
      </c>
      <c r="D361" s="355" t="s">
        <v>2455</v>
      </c>
      <c r="E361" s="355" t="s">
        <v>2453</v>
      </c>
      <c r="F361" s="459">
        <v>168.95</v>
      </c>
      <c r="G361" s="458">
        <v>9</v>
      </c>
      <c r="H361" s="25">
        <f>AppleData[[#This Row],[Selling Price]]*$F$11*AppleData[[#This Row],[Quantity]]</f>
        <v>30.411000000000001</v>
      </c>
    </row>
    <row r="362" spans="2:8" x14ac:dyDescent="0.45">
      <c r="B362" s="457">
        <v>43849</v>
      </c>
      <c r="C362" s="354" t="s">
        <v>2454</v>
      </c>
      <c r="D362" s="355" t="s">
        <v>2452</v>
      </c>
      <c r="E362" s="355" t="s">
        <v>2461</v>
      </c>
      <c r="F362" s="459">
        <v>340.95</v>
      </c>
      <c r="G362" s="458">
        <v>10</v>
      </c>
      <c r="H362" s="25">
        <f>AppleData[[#This Row],[Selling Price]]*$F$11*AppleData[[#This Row],[Quantity]]</f>
        <v>68.19</v>
      </c>
    </row>
    <row r="363" spans="2:8" x14ac:dyDescent="0.45">
      <c r="B363" s="457">
        <v>43849</v>
      </c>
      <c r="C363" s="354" t="s">
        <v>2451</v>
      </c>
      <c r="D363" s="355" t="s">
        <v>2449</v>
      </c>
      <c r="E363" s="355" t="s">
        <v>2453</v>
      </c>
      <c r="F363" s="459">
        <v>168.95</v>
      </c>
      <c r="G363" s="458">
        <v>12</v>
      </c>
      <c r="H363" s="25">
        <f>AppleData[[#This Row],[Selling Price]]*$F$11*AppleData[[#This Row],[Quantity]]</f>
        <v>40.548000000000002</v>
      </c>
    </row>
    <row r="364" spans="2:8" x14ac:dyDescent="0.45">
      <c r="B364" s="457">
        <v>43850</v>
      </c>
      <c r="C364" s="354" t="s">
        <v>2448</v>
      </c>
      <c r="D364" s="355" t="s">
        <v>2449</v>
      </c>
      <c r="E364" s="355" t="s">
        <v>2463</v>
      </c>
      <c r="F364" s="459">
        <v>79.989999999999995</v>
      </c>
      <c r="G364" s="458">
        <v>13</v>
      </c>
      <c r="H364" s="25">
        <f>AppleData[[#This Row],[Selling Price]]*$F$11*AppleData[[#This Row],[Quantity]]</f>
        <v>20.7974</v>
      </c>
    </row>
    <row r="365" spans="2:8" x14ac:dyDescent="0.45">
      <c r="B365" s="457">
        <v>43850</v>
      </c>
      <c r="C365" s="354" t="s">
        <v>2448</v>
      </c>
      <c r="D365" s="355" t="s">
        <v>2458</v>
      </c>
      <c r="E365" s="355" t="s">
        <v>2456</v>
      </c>
      <c r="F365" s="459">
        <v>340.95</v>
      </c>
      <c r="G365" s="458">
        <v>11</v>
      </c>
      <c r="H365" s="25">
        <f>AppleData[[#This Row],[Selling Price]]*$F$11*AppleData[[#This Row],[Quantity]]</f>
        <v>75.009</v>
      </c>
    </row>
    <row r="366" spans="2:8" x14ac:dyDescent="0.45">
      <c r="B366" s="457">
        <v>43850</v>
      </c>
      <c r="C366" s="354" t="s">
        <v>2451</v>
      </c>
      <c r="D366" s="355" t="s">
        <v>2455</v>
      </c>
      <c r="E366" s="355" t="s">
        <v>2463</v>
      </c>
      <c r="F366" s="459">
        <v>79.989999999999995</v>
      </c>
      <c r="G366" s="458">
        <v>3</v>
      </c>
      <c r="H366" s="25">
        <f>AppleData[[#This Row],[Selling Price]]*$F$11*AppleData[[#This Row],[Quantity]]</f>
        <v>4.7993999999999994</v>
      </c>
    </row>
    <row r="367" spans="2:8" x14ac:dyDescent="0.45">
      <c r="B367" s="457">
        <v>43851</v>
      </c>
      <c r="C367" s="354" t="s">
        <v>2451</v>
      </c>
      <c r="D367" s="355" t="s">
        <v>2458</v>
      </c>
      <c r="E367" s="355" t="s">
        <v>2463</v>
      </c>
      <c r="F367" s="459">
        <v>79.989999999999995</v>
      </c>
      <c r="G367" s="458">
        <v>3</v>
      </c>
      <c r="H367" s="25">
        <f>AppleData[[#This Row],[Selling Price]]*$F$11*AppleData[[#This Row],[Quantity]]</f>
        <v>4.7993999999999994</v>
      </c>
    </row>
    <row r="368" spans="2:8" x14ac:dyDescent="0.45">
      <c r="B368" s="457">
        <v>43851</v>
      </c>
      <c r="C368" s="354" t="s">
        <v>2459</v>
      </c>
      <c r="D368" s="355" t="s">
        <v>2458</v>
      </c>
      <c r="E368" s="355" t="s">
        <v>2456</v>
      </c>
      <c r="F368" s="459">
        <v>340.95</v>
      </c>
      <c r="G368" s="458">
        <v>3</v>
      </c>
      <c r="H368" s="25">
        <f>AppleData[[#This Row],[Selling Price]]*$F$11*AppleData[[#This Row],[Quantity]]</f>
        <v>20.457000000000001</v>
      </c>
    </row>
    <row r="369" spans="2:8" x14ac:dyDescent="0.45">
      <c r="B369" s="457">
        <v>43853</v>
      </c>
      <c r="C369" s="354" t="s">
        <v>2462</v>
      </c>
      <c r="D369" s="355" t="s">
        <v>2464</v>
      </c>
      <c r="E369" s="355" t="s">
        <v>2463</v>
      </c>
      <c r="F369" s="459">
        <v>79.989999999999995</v>
      </c>
      <c r="G369" s="458">
        <v>10</v>
      </c>
      <c r="H369" s="25">
        <f>AppleData[[#This Row],[Selling Price]]*$F$11*AppleData[[#This Row],[Quantity]]</f>
        <v>15.997999999999999</v>
      </c>
    </row>
    <row r="370" spans="2:8" x14ac:dyDescent="0.45">
      <c r="B370" s="457">
        <v>43853</v>
      </c>
      <c r="C370" s="354" t="s">
        <v>2459</v>
      </c>
      <c r="D370" s="355" t="s">
        <v>2455</v>
      </c>
      <c r="E370" s="355" t="s">
        <v>2463</v>
      </c>
      <c r="F370" s="459">
        <v>79.989999999999995</v>
      </c>
      <c r="G370" s="458">
        <v>3</v>
      </c>
      <c r="H370" s="25">
        <f>AppleData[[#This Row],[Selling Price]]*$F$11*AppleData[[#This Row],[Quantity]]</f>
        <v>4.7993999999999994</v>
      </c>
    </row>
    <row r="371" spans="2:8" x14ac:dyDescent="0.45">
      <c r="B371" s="457">
        <v>43854</v>
      </c>
      <c r="C371" s="354" t="s">
        <v>2460</v>
      </c>
      <c r="D371" s="355" t="s">
        <v>2464</v>
      </c>
      <c r="E371" s="355" t="s">
        <v>2456</v>
      </c>
      <c r="F371" s="459">
        <v>340.95</v>
      </c>
      <c r="G371" s="458">
        <v>1</v>
      </c>
      <c r="H371" s="25">
        <f>AppleData[[#This Row],[Selling Price]]*$F$11*AppleData[[#This Row],[Quantity]]</f>
        <v>6.819</v>
      </c>
    </row>
    <row r="372" spans="2:8" x14ac:dyDescent="0.45">
      <c r="B372" s="457">
        <v>43855</v>
      </c>
      <c r="C372" s="354" t="s">
        <v>2454</v>
      </c>
      <c r="D372" s="355" t="s">
        <v>2452</v>
      </c>
      <c r="E372" s="355" t="s">
        <v>2450</v>
      </c>
      <c r="F372" s="459">
        <v>799.95</v>
      </c>
      <c r="G372" s="458">
        <v>7</v>
      </c>
      <c r="H372" s="25">
        <f>AppleData[[#This Row],[Selling Price]]*$F$11*AppleData[[#This Row],[Quantity]]</f>
        <v>111.99300000000001</v>
      </c>
    </row>
    <row r="373" spans="2:8" x14ac:dyDescent="0.45">
      <c r="B373" s="457">
        <v>43856</v>
      </c>
      <c r="C373" s="354" t="s">
        <v>2465</v>
      </c>
      <c r="D373" s="355" t="s">
        <v>2455</v>
      </c>
      <c r="E373" s="355" t="s">
        <v>2456</v>
      </c>
      <c r="F373" s="459">
        <v>340.95</v>
      </c>
      <c r="G373" s="458">
        <v>18</v>
      </c>
      <c r="H373" s="25">
        <f>AppleData[[#This Row],[Selling Price]]*$F$11*AppleData[[#This Row],[Quantity]]</f>
        <v>122.742</v>
      </c>
    </row>
    <row r="374" spans="2:8" x14ac:dyDescent="0.45">
      <c r="B374" s="457">
        <v>43856</v>
      </c>
      <c r="C374" s="354" t="s">
        <v>2469</v>
      </c>
      <c r="D374" s="355" t="s">
        <v>2464</v>
      </c>
      <c r="E374" s="355" t="s">
        <v>2461</v>
      </c>
      <c r="F374" s="459">
        <v>340.95</v>
      </c>
      <c r="G374" s="458">
        <v>9</v>
      </c>
      <c r="H374" s="25">
        <f>AppleData[[#This Row],[Selling Price]]*$F$11*AppleData[[#This Row],[Quantity]]</f>
        <v>61.371000000000002</v>
      </c>
    </row>
    <row r="375" spans="2:8" x14ac:dyDescent="0.45">
      <c r="B375" s="457">
        <v>43856</v>
      </c>
      <c r="C375" s="354" t="s">
        <v>2459</v>
      </c>
      <c r="D375" s="355" t="s">
        <v>2455</v>
      </c>
      <c r="E375" s="355" t="s">
        <v>2463</v>
      </c>
      <c r="F375" s="459">
        <v>79.989999999999995</v>
      </c>
      <c r="G375" s="458">
        <v>12</v>
      </c>
      <c r="H375" s="25">
        <f>AppleData[[#This Row],[Selling Price]]*$F$11*AppleData[[#This Row],[Quantity]]</f>
        <v>19.197599999999998</v>
      </c>
    </row>
    <row r="376" spans="2:8" x14ac:dyDescent="0.45">
      <c r="B376" s="457">
        <v>43856</v>
      </c>
      <c r="C376" s="354" t="s">
        <v>2462</v>
      </c>
      <c r="D376" s="355" t="s">
        <v>2458</v>
      </c>
      <c r="E376" s="355" t="s">
        <v>2450</v>
      </c>
      <c r="F376" s="459">
        <v>799.95</v>
      </c>
      <c r="G376" s="458">
        <v>10</v>
      </c>
      <c r="H376" s="25">
        <f>AppleData[[#This Row],[Selling Price]]*$F$11*AppleData[[#This Row],[Quantity]]</f>
        <v>159.99</v>
      </c>
    </row>
    <row r="377" spans="2:8" x14ac:dyDescent="0.45">
      <c r="B377" s="457">
        <v>43856</v>
      </c>
      <c r="C377" s="354" t="s">
        <v>2448</v>
      </c>
      <c r="D377" s="355" t="s">
        <v>2464</v>
      </c>
      <c r="E377" s="355" t="s">
        <v>2463</v>
      </c>
      <c r="F377" s="459">
        <v>79.989999999999995</v>
      </c>
      <c r="G377" s="458">
        <v>10</v>
      </c>
      <c r="H377" s="25">
        <f>AppleData[[#This Row],[Selling Price]]*$F$11*AppleData[[#This Row],[Quantity]]</f>
        <v>15.997999999999999</v>
      </c>
    </row>
    <row r="378" spans="2:8" x14ac:dyDescent="0.45">
      <c r="B378" s="457">
        <v>43856</v>
      </c>
      <c r="C378" s="354" t="s">
        <v>2457</v>
      </c>
      <c r="D378" s="355" t="s">
        <v>2464</v>
      </c>
      <c r="E378" s="355" t="s">
        <v>2463</v>
      </c>
      <c r="F378" s="459">
        <v>79.989999999999995</v>
      </c>
      <c r="G378" s="458">
        <v>6</v>
      </c>
      <c r="H378" s="25">
        <f>AppleData[[#This Row],[Selling Price]]*$F$11*AppleData[[#This Row],[Quantity]]</f>
        <v>9.5987999999999989</v>
      </c>
    </row>
    <row r="379" spans="2:8" x14ac:dyDescent="0.45">
      <c r="B379" s="457">
        <v>43856</v>
      </c>
      <c r="C379" s="354" t="s">
        <v>2454</v>
      </c>
      <c r="D379" s="355" t="s">
        <v>2449</v>
      </c>
      <c r="E379" s="355" t="s">
        <v>2453</v>
      </c>
      <c r="F379" s="459">
        <v>168.95</v>
      </c>
      <c r="G379" s="458">
        <v>20</v>
      </c>
      <c r="H379" s="25">
        <f>AppleData[[#This Row],[Selling Price]]*$F$11*AppleData[[#This Row],[Quantity]]</f>
        <v>67.58</v>
      </c>
    </row>
    <row r="380" spans="2:8" x14ac:dyDescent="0.45">
      <c r="B380" s="457">
        <v>43857</v>
      </c>
      <c r="C380" s="354" t="s">
        <v>2457</v>
      </c>
      <c r="D380" s="355" t="s">
        <v>2452</v>
      </c>
      <c r="E380" s="355" t="s">
        <v>2463</v>
      </c>
      <c r="F380" s="459">
        <v>79.989999999999995</v>
      </c>
      <c r="G380" s="458">
        <v>6</v>
      </c>
      <c r="H380" s="25">
        <f>AppleData[[#This Row],[Selling Price]]*$F$11*AppleData[[#This Row],[Quantity]]</f>
        <v>9.5987999999999989</v>
      </c>
    </row>
    <row r="381" spans="2:8" x14ac:dyDescent="0.45">
      <c r="B381" s="457">
        <v>43858</v>
      </c>
      <c r="C381" s="354" t="s">
        <v>2451</v>
      </c>
      <c r="D381" s="355" t="s">
        <v>2452</v>
      </c>
      <c r="E381" s="355" t="s">
        <v>2456</v>
      </c>
      <c r="F381" s="459">
        <v>340.95</v>
      </c>
      <c r="G381" s="458">
        <v>13</v>
      </c>
      <c r="H381" s="25">
        <f>AppleData[[#This Row],[Selling Price]]*$F$11*AppleData[[#This Row],[Quantity]]</f>
        <v>88.647000000000006</v>
      </c>
    </row>
    <row r="382" spans="2:8" x14ac:dyDescent="0.45">
      <c r="B382" s="457">
        <v>43859</v>
      </c>
      <c r="C382" s="354" t="s">
        <v>2465</v>
      </c>
      <c r="D382" s="355" t="s">
        <v>2452</v>
      </c>
      <c r="E382" s="355" t="s">
        <v>2461</v>
      </c>
      <c r="F382" s="459">
        <v>340.95</v>
      </c>
      <c r="G382" s="458">
        <v>8</v>
      </c>
      <c r="H382" s="25">
        <f>AppleData[[#This Row],[Selling Price]]*$F$11*AppleData[[#This Row],[Quantity]]</f>
        <v>54.552</v>
      </c>
    </row>
    <row r="383" spans="2:8" x14ac:dyDescent="0.45">
      <c r="B383" s="457">
        <v>43859</v>
      </c>
      <c r="C383" s="354" t="s">
        <v>2466</v>
      </c>
      <c r="D383" s="355" t="s">
        <v>2452</v>
      </c>
      <c r="E383" s="355" t="s">
        <v>2453</v>
      </c>
      <c r="F383" s="459">
        <v>168.95</v>
      </c>
      <c r="G383" s="458">
        <v>18</v>
      </c>
      <c r="H383" s="25">
        <f>AppleData[[#This Row],[Selling Price]]*$F$11*AppleData[[#This Row],[Quantity]]</f>
        <v>60.822000000000003</v>
      </c>
    </row>
    <row r="384" spans="2:8" x14ac:dyDescent="0.45">
      <c r="B384" s="457">
        <v>43862</v>
      </c>
      <c r="C384" s="354" t="s">
        <v>2465</v>
      </c>
      <c r="D384" s="355" t="s">
        <v>2458</v>
      </c>
      <c r="E384" s="355" t="s">
        <v>2450</v>
      </c>
      <c r="F384" s="459">
        <v>799.95</v>
      </c>
      <c r="G384" s="458">
        <v>14</v>
      </c>
      <c r="H384" s="25">
        <f>AppleData[[#This Row],[Selling Price]]*$F$11*AppleData[[#This Row],[Quantity]]</f>
        <v>223.98600000000002</v>
      </c>
    </row>
    <row r="385" spans="2:8" x14ac:dyDescent="0.45">
      <c r="B385" s="457">
        <v>43862</v>
      </c>
      <c r="C385" s="354" t="s">
        <v>2454</v>
      </c>
      <c r="D385" s="355" t="s">
        <v>2449</v>
      </c>
      <c r="E385" s="355" t="s">
        <v>2450</v>
      </c>
      <c r="F385" s="459">
        <v>799.95</v>
      </c>
      <c r="G385" s="458">
        <v>4</v>
      </c>
      <c r="H385" s="25">
        <f>AppleData[[#This Row],[Selling Price]]*$F$11*AppleData[[#This Row],[Quantity]]</f>
        <v>63.996000000000002</v>
      </c>
    </row>
    <row r="386" spans="2:8" x14ac:dyDescent="0.45">
      <c r="B386" s="457">
        <v>43863</v>
      </c>
      <c r="C386" s="354" t="s">
        <v>2457</v>
      </c>
      <c r="D386" s="355" t="s">
        <v>2458</v>
      </c>
      <c r="E386" s="355" t="s">
        <v>2450</v>
      </c>
      <c r="F386" s="459">
        <v>799.95</v>
      </c>
      <c r="G386" s="458">
        <v>8</v>
      </c>
      <c r="H386" s="25">
        <f>AppleData[[#This Row],[Selling Price]]*$F$11*AppleData[[#This Row],[Quantity]]</f>
        <v>127.992</v>
      </c>
    </row>
    <row r="387" spans="2:8" x14ac:dyDescent="0.45">
      <c r="B387" s="457">
        <v>43863</v>
      </c>
      <c r="C387" s="354" t="s">
        <v>2467</v>
      </c>
      <c r="D387" s="355" t="s">
        <v>2458</v>
      </c>
      <c r="E387" s="355" t="s">
        <v>2453</v>
      </c>
      <c r="F387" s="459">
        <v>168.95</v>
      </c>
      <c r="G387" s="458">
        <v>14</v>
      </c>
      <c r="H387" s="25">
        <f>AppleData[[#This Row],[Selling Price]]*$F$11*AppleData[[#This Row],[Quantity]]</f>
        <v>47.305999999999997</v>
      </c>
    </row>
    <row r="388" spans="2:8" x14ac:dyDescent="0.45">
      <c r="B388" s="457">
        <v>43863</v>
      </c>
      <c r="C388" s="354" t="s">
        <v>2457</v>
      </c>
      <c r="D388" s="355" t="s">
        <v>2449</v>
      </c>
      <c r="E388" s="355" t="s">
        <v>2453</v>
      </c>
      <c r="F388" s="459">
        <v>168.95</v>
      </c>
      <c r="G388" s="458">
        <v>19</v>
      </c>
      <c r="H388" s="25">
        <f>AppleData[[#This Row],[Selling Price]]*$F$11*AppleData[[#This Row],[Quantity]]</f>
        <v>64.200999999999993</v>
      </c>
    </row>
    <row r="389" spans="2:8" x14ac:dyDescent="0.45">
      <c r="B389" s="457">
        <v>43864</v>
      </c>
      <c r="C389" s="354" t="s">
        <v>2457</v>
      </c>
      <c r="D389" s="355" t="s">
        <v>2449</v>
      </c>
      <c r="E389" s="355" t="s">
        <v>2453</v>
      </c>
      <c r="F389" s="459">
        <v>168.95</v>
      </c>
      <c r="G389" s="458">
        <v>10</v>
      </c>
      <c r="H389" s="25">
        <f>AppleData[[#This Row],[Selling Price]]*$F$11*AppleData[[#This Row],[Quantity]]</f>
        <v>33.79</v>
      </c>
    </row>
    <row r="390" spans="2:8" x14ac:dyDescent="0.45">
      <c r="B390" s="457">
        <v>43864</v>
      </c>
      <c r="C390" s="354" t="s">
        <v>2448</v>
      </c>
      <c r="D390" s="355" t="s">
        <v>2458</v>
      </c>
      <c r="E390" s="355" t="s">
        <v>2456</v>
      </c>
      <c r="F390" s="459">
        <v>340.95</v>
      </c>
      <c r="G390" s="458">
        <v>2</v>
      </c>
      <c r="H390" s="25">
        <f>AppleData[[#This Row],[Selling Price]]*$F$11*AppleData[[#This Row],[Quantity]]</f>
        <v>13.638</v>
      </c>
    </row>
    <row r="391" spans="2:8" x14ac:dyDescent="0.45">
      <c r="B391" s="457">
        <v>43864</v>
      </c>
      <c r="C391" s="354" t="s">
        <v>2469</v>
      </c>
      <c r="D391" s="355" t="s">
        <v>2458</v>
      </c>
      <c r="E391" s="355" t="s">
        <v>2453</v>
      </c>
      <c r="F391" s="459">
        <v>168.95</v>
      </c>
      <c r="G391" s="458">
        <v>4</v>
      </c>
      <c r="H391" s="25">
        <f>AppleData[[#This Row],[Selling Price]]*$F$11*AppleData[[#This Row],[Quantity]]</f>
        <v>13.516</v>
      </c>
    </row>
    <row r="392" spans="2:8" x14ac:dyDescent="0.45">
      <c r="B392" s="457">
        <v>43864</v>
      </c>
      <c r="C392" s="354" t="s">
        <v>2462</v>
      </c>
      <c r="D392" s="355" t="s">
        <v>2464</v>
      </c>
      <c r="E392" s="355" t="s">
        <v>2461</v>
      </c>
      <c r="F392" s="459">
        <v>340.95</v>
      </c>
      <c r="G392" s="458">
        <v>15</v>
      </c>
      <c r="H392" s="25">
        <f>AppleData[[#This Row],[Selling Price]]*$F$11*AppleData[[#This Row],[Quantity]]</f>
        <v>102.285</v>
      </c>
    </row>
    <row r="393" spans="2:8" x14ac:dyDescent="0.45">
      <c r="B393" s="457">
        <v>43864</v>
      </c>
      <c r="C393" s="354" t="s">
        <v>2465</v>
      </c>
      <c r="D393" s="355" t="s">
        <v>2464</v>
      </c>
      <c r="E393" s="355" t="s">
        <v>2461</v>
      </c>
      <c r="F393" s="459">
        <v>340.95</v>
      </c>
      <c r="G393" s="458">
        <v>6</v>
      </c>
      <c r="H393" s="25">
        <f>AppleData[[#This Row],[Selling Price]]*$F$11*AppleData[[#This Row],[Quantity]]</f>
        <v>40.914000000000001</v>
      </c>
    </row>
    <row r="394" spans="2:8" x14ac:dyDescent="0.45">
      <c r="B394" s="457">
        <v>43864</v>
      </c>
      <c r="C394" s="354" t="s">
        <v>2457</v>
      </c>
      <c r="D394" s="355" t="s">
        <v>2449</v>
      </c>
      <c r="E394" s="355" t="s">
        <v>2450</v>
      </c>
      <c r="F394" s="459">
        <v>799.95</v>
      </c>
      <c r="G394" s="458">
        <v>2</v>
      </c>
      <c r="H394" s="25">
        <f>AppleData[[#This Row],[Selling Price]]*$F$11*AppleData[[#This Row],[Quantity]]</f>
        <v>31.998000000000001</v>
      </c>
    </row>
    <row r="395" spans="2:8" x14ac:dyDescent="0.45">
      <c r="B395" s="457">
        <v>43865</v>
      </c>
      <c r="C395" s="354" t="s">
        <v>2451</v>
      </c>
      <c r="D395" s="355" t="s">
        <v>2449</v>
      </c>
      <c r="E395" s="355" t="s">
        <v>2461</v>
      </c>
      <c r="F395" s="459">
        <v>340.95</v>
      </c>
      <c r="G395" s="458">
        <v>2</v>
      </c>
      <c r="H395" s="25">
        <f>AppleData[[#This Row],[Selling Price]]*$F$11*AppleData[[#This Row],[Quantity]]</f>
        <v>13.638</v>
      </c>
    </row>
    <row r="396" spans="2:8" x14ac:dyDescent="0.45">
      <c r="B396" s="457">
        <v>43865</v>
      </c>
      <c r="C396" s="354" t="s">
        <v>2457</v>
      </c>
      <c r="D396" s="355" t="s">
        <v>2464</v>
      </c>
      <c r="E396" s="355" t="s">
        <v>2450</v>
      </c>
      <c r="F396" s="459">
        <v>799.95</v>
      </c>
      <c r="G396" s="458">
        <v>10</v>
      </c>
      <c r="H396" s="25">
        <f>AppleData[[#This Row],[Selling Price]]*$F$11*AppleData[[#This Row],[Quantity]]</f>
        <v>159.99</v>
      </c>
    </row>
    <row r="397" spans="2:8" x14ac:dyDescent="0.45">
      <c r="B397" s="457">
        <v>43866</v>
      </c>
      <c r="C397" s="354" t="s">
        <v>2451</v>
      </c>
      <c r="D397" s="355" t="s">
        <v>2455</v>
      </c>
      <c r="E397" s="355" t="s">
        <v>2450</v>
      </c>
      <c r="F397" s="459">
        <v>799.95</v>
      </c>
      <c r="G397" s="458">
        <v>7</v>
      </c>
      <c r="H397" s="25">
        <f>AppleData[[#This Row],[Selling Price]]*$F$11*AppleData[[#This Row],[Quantity]]</f>
        <v>111.99300000000001</v>
      </c>
    </row>
    <row r="398" spans="2:8" x14ac:dyDescent="0.45">
      <c r="B398" s="457">
        <v>43866</v>
      </c>
      <c r="C398" s="354" t="s">
        <v>2448</v>
      </c>
      <c r="D398" s="355" t="s">
        <v>2455</v>
      </c>
      <c r="E398" s="355" t="s">
        <v>2453</v>
      </c>
      <c r="F398" s="459">
        <v>168.95</v>
      </c>
      <c r="G398" s="458">
        <v>14</v>
      </c>
      <c r="H398" s="25">
        <f>AppleData[[#This Row],[Selling Price]]*$F$11*AppleData[[#This Row],[Quantity]]</f>
        <v>47.305999999999997</v>
      </c>
    </row>
    <row r="399" spans="2:8" x14ac:dyDescent="0.45">
      <c r="B399" s="457">
        <v>43866</v>
      </c>
      <c r="C399" s="354" t="s">
        <v>2462</v>
      </c>
      <c r="D399" s="355" t="s">
        <v>2455</v>
      </c>
      <c r="E399" s="355" t="s">
        <v>2450</v>
      </c>
      <c r="F399" s="459">
        <v>799.95</v>
      </c>
      <c r="G399" s="458">
        <v>9</v>
      </c>
      <c r="H399" s="25">
        <f>AppleData[[#This Row],[Selling Price]]*$F$11*AppleData[[#This Row],[Quantity]]</f>
        <v>143.99100000000001</v>
      </c>
    </row>
    <row r="400" spans="2:8" x14ac:dyDescent="0.45">
      <c r="B400" s="457">
        <v>43866</v>
      </c>
      <c r="C400" s="354" t="s">
        <v>2454</v>
      </c>
      <c r="D400" s="355" t="s">
        <v>2452</v>
      </c>
      <c r="E400" s="355" t="s">
        <v>2463</v>
      </c>
      <c r="F400" s="459">
        <v>79.989999999999995</v>
      </c>
      <c r="G400" s="458">
        <v>12</v>
      </c>
      <c r="H400" s="25">
        <f>AppleData[[#This Row],[Selling Price]]*$F$11*AppleData[[#This Row],[Quantity]]</f>
        <v>19.197599999999998</v>
      </c>
    </row>
    <row r="401" spans="2:8" x14ac:dyDescent="0.45">
      <c r="B401" s="457">
        <v>43867</v>
      </c>
      <c r="C401" s="354" t="s">
        <v>2457</v>
      </c>
      <c r="D401" s="355" t="s">
        <v>2455</v>
      </c>
      <c r="E401" s="355" t="s">
        <v>2456</v>
      </c>
      <c r="F401" s="459">
        <v>340.95</v>
      </c>
      <c r="G401" s="458">
        <v>14</v>
      </c>
      <c r="H401" s="25">
        <f>AppleData[[#This Row],[Selling Price]]*$F$11*AppleData[[#This Row],[Quantity]]</f>
        <v>95.465999999999994</v>
      </c>
    </row>
    <row r="402" spans="2:8" x14ac:dyDescent="0.45">
      <c r="B402" s="457">
        <v>43867</v>
      </c>
      <c r="C402" s="354" t="s">
        <v>2469</v>
      </c>
      <c r="D402" s="355" t="s">
        <v>2455</v>
      </c>
      <c r="E402" s="355" t="s">
        <v>2461</v>
      </c>
      <c r="F402" s="459">
        <v>340.95</v>
      </c>
      <c r="G402" s="458">
        <v>2</v>
      </c>
      <c r="H402" s="25">
        <f>AppleData[[#This Row],[Selling Price]]*$F$11*AppleData[[#This Row],[Quantity]]</f>
        <v>13.638</v>
      </c>
    </row>
    <row r="403" spans="2:8" x14ac:dyDescent="0.45">
      <c r="B403" s="457">
        <v>43867</v>
      </c>
      <c r="C403" s="354" t="s">
        <v>2468</v>
      </c>
      <c r="D403" s="355" t="s">
        <v>2455</v>
      </c>
      <c r="E403" s="355" t="s">
        <v>2456</v>
      </c>
      <c r="F403" s="459">
        <v>340.95</v>
      </c>
      <c r="G403" s="458">
        <v>2</v>
      </c>
      <c r="H403" s="25">
        <f>AppleData[[#This Row],[Selling Price]]*$F$11*AppleData[[#This Row],[Quantity]]</f>
        <v>13.638</v>
      </c>
    </row>
    <row r="404" spans="2:8" x14ac:dyDescent="0.45">
      <c r="B404" s="457">
        <v>43868</v>
      </c>
      <c r="C404" s="354" t="s">
        <v>2457</v>
      </c>
      <c r="D404" s="355" t="s">
        <v>2458</v>
      </c>
      <c r="E404" s="355" t="s">
        <v>2461</v>
      </c>
      <c r="F404" s="459">
        <v>340.95</v>
      </c>
      <c r="G404" s="458">
        <v>3</v>
      </c>
      <c r="H404" s="25">
        <f>AppleData[[#This Row],[Selling Price]]*$F$11*AppleData[[#This Row],[Quantity]]</f>
        <v>20.457000000000001</v>
      </c>
    </row>
    <row r="405" spans="2:8" x14ac:dyDescent="0.45">
      <c r="B405" s="457">
        <v>43868</v>
      </c>
      <c r="C405" s="354" t="s">
        <v>2468</v>
      </c>
      <c r="D405" s="355" t="s">
        <v>2458</v>
      </c>
      <c r="E405" s="355" t="s">
        <v>2453</v>
      </c>
      <c r="F405" s="459">
        <v>168.95</v>
      </c>
      <c r="G405" s="458">
        <v>1</v>
      </c>
      <c r="H405" s="25">
        <f>AppleData[[#This Row],[Selling Price]]*$F$11*AppleData[[#This Row],[Quantity]]</f>
        <v>3.379</v>
      </c>
    </row>
    <row r="406" spans="2:8" x14ac:dyDescent="0.45">
      <c r="B406" s="457">
        <v>43869</v>
      </c>
      <c r="C406" s="354" t="s">
        <v>2459</v>
      </c>
      <c r="D406" s="355" t="s">
        <v>2449</v>
      </c>
      <c r="E406" s="355" t="s">
        <v>2461</v>
      </c>
      <c r="F406" s="459">
        <v>340.95</v>
      </c>
      <c r="G406" s="458">
        <v>2</v>
      </c>
      <c r="H406" s="25">
        <f>AppleData[[#This Row],[Selling Price]]*$F$11*AppleData[[#This Row],[Quantity]]</f>
        <v>13.638</v>
      </c>
    </row>
    <row r="407" spans="2:8" x14ac:dyDescent="0.45">
      <c r="B407" s="457">
        <v>43871</v>
      </c>
      <c r="C407" s="354" t="s">
        <v>2451</v>
      </c>
      <c r="D407" s="355" t="s">
        <v>2458</v>
      </c>
      <c r="E407" s="355" t="s">
        <v>2461</v>
      </c>
      <c r="F407" s="459">
        <v>340.95</v>
      </c>
      <c r="G407" s="458">
        <v>7</v>
      </c>
      <c r="H407" s="25">
        <f>AppleData[[#This Row],[Selling Price]]*$F$11*AppleData[[#This Row],[Quantity]]</f>
        <v>47.732999999999997</v>
      </c>
    </row>
    <row r="408" spans="2:8" x14ac:dyDescent="0.45">
      <c r="B408" s="457">
        <v>43874</v>
      </c>
      <c r="C408" s="354" t="s">
        <v>2467</v>
      </c>
      <c r="D408" s="355" t="s">
        <v>2452</v>
      </c>
      <c r="E408" s="355" t="s">
        <v>2450</v>
      </c>
      <c r="F408" s="459">
        <v>799.95</v>
      </c>
      <c r="G408" s="458">
        <v>13</v>
      </c>
      <c r="H408" s="25">
        <f>AppleData[[#This Row],[Selling Price]]*$F$11*AppleData[[#This Row],[Quantity]]</f>
        <v>207.98699999999999</v>
      </c>
    </row>
    <row r="409" spans="2:8" x14ac:dyDescent="0.45">
      <c r="B409" s="457">
        <v>43875</v>
      </c>
      <c r="C409" s="354" t="s">
        <v>2467</v>
      </c>
      <c r="D409" s="355" t="s">
        <v>2452</v>
      </c>
      <c r="E409" s="355" t="s">
        <v>2453</v>
      </c>
      <c r="F409" s="459">
        <v>168.95</v>
      </c>
      <c r="G409" s="458">
        <v>11</v>
      </c>
      <c r="H409" s="25">
        <f>AppleData[[#This Row],[Selling Price]]*$F$11*AppleData[[#This Row],[Quantity]]</f>
        <v>37.168999999999997</v>
      </c>
    </row>
    <row r="410" spans="2:8" x14ac:dyDescent="0.45">
      <c r="B410" s="457">
        <v>43875</v>
      </c>
      <c r="C410" s="354" t="s">
        <v>2454</v>
      </c>
      <c r="D410" s="355" t="s">
        <v>2458</v>
      </c>
      <c r="E410" s="355" t="s">
        <v>2461</v>
      </c>
      <c r="F410" s="459">
        <v>340.95</v>
      </c>
      <c r="G410" s="458">
        <v>6</v>
      </c>
      <c r="H410" s="25">
        <f>AppleData[[#This Row],[Selling Price]]*$F$11*AppleData[[#This Row],[Quantity]]</f>
        <v>40.914000000000001</v>
      </c>
    </row>
    <row r="411" spans="2:8" x14ac:dyDescent="0.45">
      <c r="B411" s="457">
        <v>43875</v>
      </c>
      <c r="C411" s="354" t="s">
        <v>2457</v>
      </c>
      <c r="D411" s="355" t="s">
        <v>2464</v>
      </c>
      <c r="E411" s="355" t="s">
        <v>2461</v>
      </c>
      <c r="F411" s="459">
        <v>340.95</v>
      </c>
      <c r="G411" s="458">
        <v>18</v>
      </c>
      <c r="H411" s="25">
        <f>AppleData[[#This Row],[Selling Price]]*$F$11*AppleData[[#This Row],[Quantity]]</f>
        <v>122.742</v>
      </c>
    </row>
    <row r="412" spans="2:8" x14ac:dyDescent="0.45">
      <c r="B412" s="457">
        <v>43875</v>
      </c>
      <c r="C412" s="354" t="s">
        <v>2469</v>
      </c>
      <c r="D412" s="355" t="s">
        <v>2458</v>
      </c>
      <c r="E412" s="355" t="s">
        <v>2456</v>
      </c>
      <c r="F412" s="459">
        <v>340.95</v>
      </c>
      <c r="G412" s="458">
        <v>4</v>
      </c>
      <c r="H412" s="25">
        <f>AppleData[[#This Row],[Selling Price]]*$F$11*AppleData[[#This Row],[Quantity]]</f>
        <v>27.276</v>
      </c>
    </row>
    <row r="413" spans="2:8" x14ac:dyDescent="0.45">
      <c r="B413" s="457">
        <v>43875</v>
      </c>
      <c r="C413" s="354" t="s">
        <v>2467</v>
      </c>
      <c r="D413" s="355" t="s">
        <v>2452</v>
      </c>
      <c r="E413" s="355" t="s">
        <v>2456</v>
      </c>
      <c r="F413" s="459">
        <v>340.95</v>
      </c>
      <c r="G413" s="458">
        <v>8</v>
      </c>
      <c r="H413" s="25">
        <f>AppleData[[#This Row],[Selling Price]]*$F$11*AppleData[[#This Row],[Quantity]]</f>
        <v>54.552</v>
      </c>
    </row>
    <row r="414" spans="2:8" x14ac:dyDescent="0.45">
      <c r="B414" s="457">
        <v>43875</v>
      </c>
      <c r="C414" s="354" t="s">
        <v>2451</v>
      </c>
      <c r="D414" s="355" t="s">
        <v>2464</v>
      </c>
      <c r="E414" s="355" t="s">
        <v>2453</v>
      </c>
      <c r="F414" s="459">
        <v>168.95</v>
      </c>
      <c r="G414" s="458">
        <v>5</v>
      </c>
      <c r="H414" s="25">
        <f>AppleData[[#This Row],[Selling Price]]*$F$11*AppleData[[#This Row],[Quantity]]</f>
        <v>16.895</v>
      </c>
    </row>
    <row r="415" spans="2:8" x14ac:dyDescent="0.45">
      <c r="B415" s="457">
        <v>43877</v>
      </c>
      <c r="C415" s="354" t="s">
        <v>2454</v>
      </c>
      <c r="D415" s="355" t="s">
        <v>2455</v>
      </c>
      <c r="E415" s="355" t="s">
        <v>2463</v>
      </c>
      <c r="F415" s="459">
        <v>79.989999999999995</v>
      </c>
      <c r="G415" s="458">
        <v>14</v>
      </c>
      <c r="H415" s="25">
        <f>AppleData[[#This Row],[Selling Price]]*$F$11*AppleData[[#This Row],[Quantity]]</f>
        <v>22.397199999999998</v>
      </c>
    </row>
    <row r="416" spans="2:8" x14ac:dyDescent="0.45">
      <c r="B416" s="457">
        <v>43877</v>
      </c>
      <c r="C416" s="354" t="s">
        <v>2462</v>
      </c>
      <c r="D416" s="355" t="s">
        <v>2452</v>
      </c>
      <c r="E416" s="355" t="s">
        <v>2463</v>
      </c>
      <c r="F416" s="459">
        <v>79.989999999999995</v>
      </c>
      <c r="G416" s="458">
        <v>13</v>
      </c>
      <c r="H416" s="25">
        <f>AppleData[[#This Row],[Selling Price]]*$F$11*AppleData[[#This Row],[Quantity]]</f>
        <v>20.7974</v>
      </c>
    </row>
    <row r="417" spans="2:8" x14ac:dyDescent="0.45">
      <c r="B417" s="457">
        <v>43877</v>
      </c>
      <c r="C417" s="354" t="s">
        <v>2460</v>
      </c>
      <c r="D417" s="355" t="s">
        <v>2449</v>
      </c>
      <c r="E417" s="355" t="s">
        <v>2450</v>
      </c>
      <c r="F417" s="459">
        <v>799.95</v>
      </c>
      <c r="G417" s="458">
        <v>6</v>
      </c>
      <c r="H417" s="25">
        <f>AppleData[[#This Row],[Selling Price]]*$F$11*AppleData[[#This Row],[Quantity]]</f>
        <v>95.994</v>
      </c>
    </row>
    <row r="418" spans="2:8" x14ac:dyDescent="0.45">
      <c r="B418" s="457">
        <v>43877</v>
      </c>
      <c r="C418" s="354" t="s">
        <v>2448</v>
      </c>
      <c r="D418" s="355" t="s">
        <v>2458</v>
      </c>
      <c r="E418" s="355" t="s">
        <v>2456</v>
      </c>
      <c r="F418" s="459">
        <v>340.95</v>
      </c>
      <c r="G418" s="458">
        <v>14</v>
      </c>
      <c r="H418" s="25">
        <f>AppleData[[#This Row],[Selling Price]]*$F$11*AppleData[[#This Row],[Quantity]]</f>
        <v>95.465999999999994</v>
      </c>
    </row>
    <row r="419" spans="2:8" x14ac:dyDescent="0.45">
      <c r="B419" s="457">
        <v>43877</v>
      </c>
      <c r="C419" s="354" t="s">
        <v>2457</v>
      </c>
      <c r="D419" s="355" t="s">
        <v>2464</v>
      </c>
      <c r="E419" s="355" t="s">
        <v>2456</v>
      </c>
      <c r="F419" s="459">
        <v>340.95</v>
      </c>
      <c r="G419" s="458">
        <v>4</v>
      </c>
      <c r="H419" s="25">
        <f>AppleData[[#This Row],[Selling Price]]*$F$11*AppleData[[#This Row],[Quantity]]</f>
        <v>27.276</v>
      </c>
    </row>
    <row r="420" spans="2:8" x14ac:dyDescent="0.45">
      <c r="B420" s="457">
        <v>43877</v>
      </c>
      <c r="C420" s="354" t="s">
        <v>2457</v>
      </c>
      <c r="D420" s="355" t="s">
        <v>2455</v>
      </c>
      <c r="E420" s="355" t="s">
        <v>2456</v>
      </c>
      <c r="F420" s="459">
        <v>340.95</v>
      </c>
      <c r="G420" s="458">
        <v>3</v>
      </c>
      <c r="H420" s="25">
        <f>AppleData[[#This Row],[Selling Price]]*$F$11*AppleData[[#This Row],[Quantity]]</f>
        <v>20.457000000000001</v>
      </c>
    </row>
    <row r="421" spans="2:8" x14ac:dyDescent="0.45">
      <c r="B421" s="457">
        <v>43878</v>
      </c>
      <c r="C421" s="354" t="s">
        <v>2451</v>
      </c>
      <c r="D421" s="355" t="s">
        <v>2464</v>
      </c>
      <c r="E421" s="355" t="s">
        <v>2453</v>
      </c>
      <c r="F421" s="459">
        <v>168.95</v>
      </c>
      <c r="G421" s="458">
        <v>20</v>
      </c>
      <c r="H421" s="25">
        <f>AppleData[[#This Row],[Selling Price]]*$F$11*AppleData[[#This Row],[Quantity]]</f>
        <v>67.58</v>
      </c>
    </row>
    <row r="422" spans="2:8" x14ac:dyDescent="0.45">
      <c r="B422" s="457">
        <v>43879</v>
      </c>
      <c r="C422" s="354" t="s">
        <v>2448</v>
      </c>
      <c r="D422" s="355" t="s">
        <v>2464</v>
      </c>
      <c r="E422" s="355" t="s">
        <v>2450</v>
      </c>
      <c r="F422" s="459">
        <v>799.95</v>
      </c>
      <c r="G422" s="458">
        <v>6</v>
      </c>
      <c r="H422" s="25">
        <f>AppleData[[#This Row],[Selling Price]]*$F$11*AppleData[[#This Row],[Quantity]]</f>
        <v>95.994</v>
      </c>
    </row>
    <row r="423" spans="2:8" x14ac:dyDescent="0.45">
      <c r="B423" s="457">
        <v>43879</v>
      </c>
      <c r="C423" s="354" t="s">
        <v>2465</v>
      </c>
      <c r="D423" s="355" t="s">
        <v>2458</v>
      </c>
      <c r="E423" s="355" t="s">
        <v>2456</v>
      </c>
      <c r="F423" s="459">
        <v>340.95</v>
      </c>
      <c r="G423" s="458">
        <v>6</v>
      </c>
      <c r="H423" s="25">
        <f>AppleData[[#This Row],[Selling Price]]*$F$11*AppleData[[#This Row],[Quantity]]</f>
        <v>40.914000000000001</v>
      </c>
    </row>
    <row r="424" spans="2:8" x14ac:dyDescent="0.45">
      <c r="B424" s="457">
        <v>43879</v>
      </c>
      <c r="C424" s="354" t="s">
        <v>2462</v>
      </c>
      <c r="D424" s="355" t="s">
        <v>2455</v>
      </c>
      <c r="E424" s="355" t="s">
        <v>2463</v>
      </c>
      <c r="F424" s="459">
        <v>79.989999999999995</v>
      </c>
      <c r="G424" s="458">
        <v>13</v>
      </c>
      <c r="H424" s="25">
        <f>AppleData[[#This Row],[Selling Price]]*$F$11*AppleData[[#This Row],[Quantity]]</f>
        <v>20.7974</v>
      </c>
    </row>
    <row r="425" spans="2:8" x14ac:dyDescent="0.45">
      <c r="B425" s="457">
        <v>43879</v>
      </c>
      <c r="C425" s="354" t="s">
        <v>2466</v>
      </c>
      <c r="D425" s="355" t="s">
        <v>2455</v>
      </c>
      <c r="E425" s="355" t="s">
        <v>2453</v>
      </c>
      <c r="F425" s="459">
        <v>168.95</v>
      </c>
      <c r="G425" s="458">
        <v>3</v>
      </c>
      <c r="H425" s="25">
        <f>AppleData[[#This Row],[Selling Price]]*$F$11*AppleData[[#This Row],[Quantity]]</f>
        <v>10.137</v>
      </c>
    </row>
    <row r="426" spans="2:8" x14ac:dyDescent="0.45">
      <c r="B426" s="457">
        <v>43881</v>
      </c>
      <c r="C426" s="354" t="s">
        <v>2467</v>
      </c>
      <c r="D426" s="355" t="s">
        <v>2449</v>
      </c>
      <c r="E426" s="355" t="s">
        <v>2461</v>
      </c>
      <c r="F426" s="459">
        <v>340.95</v>
      </c>
      <c r="G426" s="458">
        <v>16</v>
      </c>
      <c r="H426" s="25">
        <f>AppleData[[#This Row],[Selling Price]]*$F$11*AppleData[[#This Row],[Quantity]]</f>
        <v>109.104</v>
      </c>
    </row>
    <row r="427" spans="2:8" x14ac:dyDescent="0.45">
      <c r="B427" s="457">
        <v>43882</v>
      </c>
      <c r="C427" s="354" t="s">
        <v>2457</v>
      </c>
      <c r="D427" s="355" t="s">
        <v>2464</v>
      </c>
      <c r="E427" s="355" t="s">
        <v>2453</v>
      </c>
      <c r="F427" s="459">
        <v>168.95</v>
      </c>
      <c r="G427" s="458">
        <v>2</v>
      </c>
      <c r="H427" s="25">
        <f>AppleData[[#This Row],[Selling Price]]*$F$11*AppleData[[#This Row],[Quantity]]</f>
        <v>6.758</v>
      </c>
    </row>
    <row r="428" spans="2:8" x14ac:dyDescent="0.45">
      <c r="B428" s="457">
        <v>43883</v>
      </c>
      <c r="C428" s="354" t="s">
        <v>2462</v>
      </c>
      <c r="D428" s="355" t="s">
        <v>2455</v>
      </c>
      <c r="E428" s="355" t="s">
        <v>2450</v>
      </c>
      <c r="F428" s="459">
        <v>799.95</v>
      </c>
      <c r="G428" s="458">
        <v>9</v>
      </c>
      <c r="H428" s="25">
        <f>AppleData[[#This Row],[Selling Price]]*$F$11*AppleData[[#This Row],[Quantity]]</f>
        <v>143.99100000000001</v>
      </c>
    </row>
    <row r="429" spans="2:8" x14ac:dyDescent="0.45">
      <c r="B429" s="457">
        <v>43883</v>
      </c>
      <c r="C429" s="354" t="s">
        <v>2457</v>
      </c>
      <c r="D429" s="355" t="s">
        <v>2455</v>
      </c>
      <c r="E429" s="355" t="s">
        <v>2463</v>
      </c>
      <c r="F429" s="459">
        <v>79.989999999999995</v>
      </c>
      <c r="G429" s="458">
        <v>3</v>
      </c>
      <c r="H429" s="25">
        <f>AppleData[[#This Row],[Selling Price]]*$F$11*AppleData[[#This Row],[Quantity]]</f>
        <v>4.7993999999999994</v>
      </c>
    </row>
    <row r="430" spans="2:8" x14ac:dyDescent="0.45">
      <c r="B430" s="457">
        <v>43883</v>
      </c>
      <c r="C430" s="354" t="s">
        <v>2465</v>
      </c>
      <c r="D430" s="355" t="s">
        <v>2458</v>
      </c>
      <c r="E430" s="355" t="s">
        <v>2461</v>
      </c>
      <c r="F430" s="459">
        <v>340.95</v>
      </c>
      <c r="G430" s="458">
        <v>2</v>
      </c>
      <c r="H430" s="25">
        <f>AppleData[[#This Row],[Selling Price]]*$F$11*AppleData[[#This Row],[Quantity]]</f>
        <v>13.638</v>
      </c>
    </row>
    <row r="431" spans="2:8" x14ac:dyDescent="0.45">
      <c r="B431" s="457">
        <v>43883</v>
      </c>
      <c r="C431" s="354" t="s">
        <v>2465</v>
      </c>
      <c r="D431" s="355" t="s">
        <v>2464</v>
      </c>
      <c r="E431" s="355" t="s">
        <v>2453</v>
      </c>
      <c r="F431" s="459">
        <v>168.95</v>
      </c>
      <c r="G431" s="458">
        <v>15</v>
      </c>
      <c r="H431" s="25">
        <f>AppleData[[#This Row],[Selling Price]]*$F$11*AppleData[[#This Row],[Quantity]]</f>
        <v>50.685000000000002</v>
      </c>
    </row>
    <row r="432" spans="2:8" x14ac:dyDescent="0.45">
      <c r="B432" s="457">
        <v>43884</v>
      </c>
      <c r="C432" s="354" t="s">
        <v>2454</v>
      </c>
      <c r="D432" s="355" t="s">
        <v>2458</v>
      </c>
      <c r="E432" s="355" t="s">
        <v>2463</v>
      </c>
      <c r="F432" s="459">
        <v>79.989999999999995</v>
      </c>
      <c r="G432" s="458">
        <v>20</v>
      </c>
      <c r="H432" s="25">
        <f>AppleData[[#This Row],[Selling Price]]*$F$11*AppleData[[#This Row],[Quantity]]</f>
        <v>31.995999999999999</v>
      </c>
    </row>
    <row r="433" spans="2:8" x14ac:dyDescent="0.45">
      <c r="B433" s="457">
        <v>43884</v>
      </c>
      <c r="C433" s="354" t="s">
        <v>2468</v>
      </c>
      <c r="D433" s="355" t="s">
        <v>2455</v>
      </c>
      <c r="E433" s="355" t="s">
        <v>2456</v>
      </c>
      <c r="F433" s="459">
        <v>340.95</v>
      </c>
      <c r="G433" s="458">
        <v>15</v>
      </c>
      <c r="H433" s="25">
        <f>AppleData[[#This Row],[Selling Price]]*$F$11*AppleData[[#This Row],[Quantity]]</f>
        <v>102.285</v>
      </c>
    </row>
    <row r="434" spans="2:8" x14ac:dyDescent="0.45">
      <c r="B434" s="457">
        <v>43885</v>
      </c>
      <c r="C434" s="354" t="s">
        <v>2454</v>
      </c>
      <c r="D434" s="355" t="s">
        <v>2449</v>
      </c>
      <c r="E434" s="355" t="s">
        <v>2456</v>
      </c>
      <c r="F434" s="459">
        <v>340.95</v>
      </c>
      <c r="G434" s="458">
        <v>4</v>
      </c>
      <c r="H434" s="25">
        <f>AppleData[[#This Row],[Selling Price]]*$F$11*AppleData[[#This Row],[Quantity]]</f>
        <v>27.276</v>
      </c>
    </row>
    <row r="435" spans="2:8" x14ac:dyDescent="0.45">
      <c r="B435" s="457">
        <v>43886</v>
      </c>
      <c r="C435" s="354" t="s">
        <v>2454</v>
      </c>
      <c r="D435" s="355" t="s">
        <v>2449</v>
      </c>
      <c r="E435" s="355" t="s">
        <v>2456</v>
      </c>
      <c r="F435" s="459">
        <v>340.95</v>
      </c>
      <c r="G435" s="458">
        <v>12</v>
      </c>
      <c r="H435" s="25">
        <f>AppleData[[#This Row],[Selling Price]]*$F$11*AppleData[[#This Row],[Quantity]]</f>
        <v>81.828000000000003</v>
      </c>
    </row>
    <row r="436" spans="2:8" x14ac:dyDescent="0.45">
      <c r="B436" s="457">
        <v>43887</v>
      </c>
      <c r="C436" s="354" t="s">
        <v>2454</v>
      </c>
      <c r="D436" s="355" t="s">
        <v>2458</v>
      </c>
      <c r="E436" s="355" t="s">
        <v>2463</v>
      </c>
      <c r="F436" s="459">
        <v>79.989999999999995</v>
      </c>
      <c r="G436" s="458">
        <v>20</v>
      </c>
      <c r="H436" s="25">
        <f>AppleData[[#This Row],[Selling Price]]*$F$11*AppleData[[#This Row],[Quantity]]</f>
        <v>31.995999999999999</v>
      </c>
    </row>
    <row r="437" spans="2:8" x14ac:dyDescent="0.45">
      <c r="B437" s="457">
        <v>43889</v>
      </c>
      <c r="C437" s="354" t="s">
        <v>2462</v>
      </c>
      <c r="D437" s="355" t="s">
        <v>2458</v>
      </c>
      <c r="E437" s="355" t="s">
        <v>2453</v>
      </c>
      <c r="F437" s="459">
        <v>168.95</v>
      </c>
      <c r="G437" s="458">
        <v>11</v>
      </c>
      <c r="H437" s="25">
        <f>AppleData[[#This Row],[Selling Price]]*$F$11*AppleData[[#This Row],[Quantity]]</f>
        <v>37.168999999999997</v>
      </c>
    </row>
    <row r="438" spans="2:8" x14ac:dyDescent="0.45">
      <c r="B438" s="457">
        <v>43889</v>
      </c>
      <c r="C438" s="354" t="s">
        <v>2462</v>
      </c>
      <c r="D438" s="355" t="s">
        <v>2452</v>
      </c>
      <c r="E438" s="355" t="s">
        <v>2456</v>
      </c>
      <c r="F438" s="459">
        <v>340.95</v>
      </c>
      <c r="G438" s="458">
        <v>18</v>
      </c>
      <c r="H438" s="25">
        <f>AppleData[[#This Row],[Selling Price]]*$F$11*AppleData[[#This Row],[Quantity]]</f>
        <v>122.742</v>
      </c>
    </row>
    <row r="439" spans="2:8" x14ac:dyDescent="0.45">
      <c r="B439" s="457">
        <v>43890</v>
      </c>
      <c r="C439" s="354" t="s">
        <v>2465</v>
      </c>
      <c r="D439" s="355" t="s">
        <v>2464</v>
      </c>
      <c r="E439" s="355" t="s">
        <v>2463</v>
      </c>
      <c r="F439" s="459">
        <v>79.989999999999995</v>
      </c>
      <c r="G439" s="458">
        <v>2</v>
      </c>
      <c r="H439" s="25">
        <f>AppleData[[#This Row],[Selling Price]]*$F$11*AppleData[[#This Row],[Quantity]]</f>
        <v>3.1995999999999998</v>
      </c>
    </row>
    <row r="440" spans="2:8" x14ac:dyDescent="0.45">
      <c r="B440" s="457">
        <v>43890</v>
      </c>
      <c r="C440" s="354" t="s">
        <v>2448</v>
      </c>
      <c r="D440" s="355" t="s">
        <v>2455</v>
      </c>
      <c r="E440" s="355" t="s">
        <v>2456</v>
      </c>
      <c r="F440" s="459">
        <v>340.95</v>
      </c>
      <c r="G440" s="458">
        <v>8</v>
      </c>
      <c r="H440" s="25">
        <f>AppleData[[#This Row],[Selling Price]]*$F$11*AppleData[[#This Row],[Quantity]]</f>
        <v>54.552</v>
      </c>
    </row>
    <row r="441" spans="2:8" x14ac:dyDescent="0.45">
      <c r="B441" s="457">
        <v>43890</v>
      </c>
      <c r="C441" s="354" t="s">
        <v>2465</v>
      </c>
      <c r="D441" s="355" t="s">
        <v>2455</v>
      </c>
      <c r="E441" s="355" t="s">
        <v>2463</v>
      </c>
      <c r="F441" s="459">
        <v>79.989999999999995</v>
      </c>
      <c r="G441" s="458">
        <v>13</v>
      </c>
      <c r="H441" s="25">
        <f>AppleData[[#This Row],[Selling Price]]*$F$11*AppleData[[#This Row],[Quantity]]</f>
        <v>20.7974</v>
      </c>
    </row>
    <row r="442" spans="2:8" x14ac:dyDescent="0.45">
      <c r="B442" s="457">
        <v>43891</v>
      </c>
      <c r="C442" s="354" t="s">
        <v>2457</v>
      </c>
      <c r="D442" s="355" t="s">
        <v>2458</v>
      </c>
      <c r="E442" s="355" t="s">
        <v>2450</v>
      </c>
      <c r="F442" s="459">
        <v>799.95</v>
      </c>
      <c r="G442" s="458">
        <v>10</v>
      </c>
      <c r="H442" s="25">
        <f>AppleData[[#This Row],[Selling Price]]*$F$11*AppleData[[#This Row],[Quantity]]</f>
        <v>159.99</v>
      </c>
    </row>
    <row r="443" spans="2:8" x14ac:dyDescent="0.45">
      <c r="B443" s="457">
        <v>43891</v>
      </c>
      <c r="C443" s="354" t="s">
        <v>2459</v>
      </c>
      <c r="D443" s="355" t="s">
        <v>2455</v>
      </c>
      <c r="E443" s="355" t="s">
        <v>2463</v>
      </c>
      <c r="F443" s="459">
        <v>79.989999999999995</v>
      </c>
      <c r="G443" s="458">
        <v>1</v>
      </c>
      <c r="H443" s="25">
        <f>AppleData[[#This Row],[Selling Price]]*$F$11*AppleData[[#This Row],[Quantity]]</f>
        <v>1.5997999999999999</v>
      </c>
    </row>
    <row r="444" spans="2:8" x14ac:dyDescent="0.45">
      <c r="B444" s="457">
        <v>43892</v>
      </c>
      <c r="C444" s="354" t="s">
        <v>2457</v>
      </c>
      <c r="D444" s="355" t="s">
        <v>2458</v>
      </c>
      <c r="E444" s="355" t="s">
        <v>2461</v>
      </c>
      <c r="F444" s="459">
        <v>340.95</v>
      </c>
      <c r="G444" s="458">
        <v>14</v>
      </c>
      <c r="H444" s="25">
        <f>AppleData[[#This Row],[Selling Price]]*$F$11*AppleData[[#This Row],[Quantity]]</f>
        <v>95.465999999999994</v>
      </c>
    </row>
    <row r="445" spans="2:8" x14ac:dyDescent="0.45">
      <c r="B445" s="457">
        <v>43892</v>
      </c>
      <c r="C445" s="354" t="s">
        <v>2454</v>
      </c>
      <c r="D445" s="355" t="s">
        <v>2449</v>
      </c>
      <c r="E445" s="355" t="s">
        <v>2453</v>
      </c>
      <c r="F445" s="459">
        <v>168.95</v>
      </c>
      <c r="G445" s="458">
        <v>15</v>
      </c>
      <c r="H445" s="25">
        <f>AppleData[[#This Row],[Selling Price]]*$F$11*AppleData[[#This Row],[Quantity]]</f>
        <v>50.685000000000002</v>
      </c>
    </row>
    <row r="446" spans="2:8" x14ac:dyDescent="0.45">
      <c r="B446" s="457">
        <v>43893</v>
      </c>
      <c r="C446" s="354" t="s">
        <v>2465</v>
      </c>
      <c r="D446" s="355" t="s">
        <v>2464</v>
      </c>
      <c r="E446" s="355" t="s">
        <v>2450</v>
      </c>
      <c r="F446" s="459">
        <v>799.95</v>
      </c>
      <c r="G446" s="458">
        <v>3</v>
      </c>
      <c r="H446" s="25">
        <f>AppleData[[#This Row],[Selling Price]]*$F$11*AppleData[[#This Row],[Quantity]]</f>
        <v>47.997</v>
      </c>
    </row>
    <row r="447" spans="2:8" x14ac:dyDescent="0.45">
      <c r="B447" s="457">
        <v>43893</v>
      </c>
      <c r="C447" s="354" t="s">
        <v>2465</v>
      </c>
      <c r="D447" s="355" t="s">
        <v>2458</v>
      </c>
      <c r="E447" s="355" t="s">
        <v>2463</v>
      </c>
      <c r="F447" s="459">
        <v>79.989999999999995</v>
      </c>
      <c r="G447" s="458">
        <v>10</v>
      </c>
      <c r="H447" s="25">
        <f>AppleData[[#This Row],[Selling Price]]*$F$11*AppleData[[#This Row],[Quantity]]</f>
        <v>15.997999999999999</v>
      </c>
    </row>
    <row r="448" spans="2:8" x14ac:dyDescent="0.45">
      <c r="B448" s="457">
        <v>43894</v>
      </c>
      <c r="C448" s="354" t="s">
        <v>2467</v>
      </c>
      <c r="D448" s="355" t="s">
        <v>2449</v>
      </c>
      <c r="E448" s="355" t="s">
        <v>2463</v>
      </c>
      <c r="F448" s="459">
        <v>79.989999999999995</v>
      </c>
      <c r="G448" s="458">
        <v>11</v>
      </c>
      <c r="H448" s="25">
        <f>AppleData[[#This Row],[Selling Price]]*$F$11*AppleData[[#This Row],[Quantity]]</f>
        <v>17.597799999999999</v>
      </c>
    </row>
    <row r="449" spans="2:8" x14ac:dyDescent="0.45">
      <c r="B449" s="457">
        <v>43894</v>
      </c>
      <c r="C449" s="354" t="s">
        <v>2448</v>
      </c>
      <c r="D449" s="355" t="s">
        <v>2455</v>
      </c>
      <c r="E449" s="355" t="s">
        <v>2456</v>
      </c>
      <c r="F449" s="459">
        <v>340.95</v>
      </c>
      <c r="G449" s="458">
        <v>6</v>
      </c>
      <c r="H449" s="25">
        <f>AppleData[[#This Row],[Selling Price]]*$F$11*AppleData[[#This Row],[Quantity]]</f>
        <v>40.914000000000001</v>
      </c>
    </row>
    <row r="450" spans="2:8" x14ac:dyDescent="0.45">
      <c r="B450" s="457">
        <v>43894</v>
      </c>
      <c r="C450" s="354" t="s">
        <v>2448</v>
      </c>
      <c r="D450" s="355" t="s">
        <v>2449</v>
      </c>
      <c r="E450" s="355" t="s">
        <v>2461</v>
      </c>
      <c r="F450" s="459">
        <v>340.95</v>
      </c>
      <c r="G450" s="458">
        <v>4</v>
      </c>
      <c r="H450" s="25">
        <f>AppleData[[#This Row],[Selling Price]]*$F$11*AppleData[[#This Row],[Quantity]]</f>
        <v>27.276</v>
      </c>
    </row>
    <row r="451" spans="2:8" x14ac:dyDescent="0.45">
      <c r="B451" s="457">
        <v>43894</v>
      </c>
      <c r="C451" s="354" t="s">
        <v>2468</v>
      </c>
      <c r="D451" s="355" t="s">
        <v>2458</v>
      </c>
      <c r="E451" s="355" t="s">
        <v>2453</v>
      </c>
      <c r="F451" s="459">
        <v>168.95</v>
      </c>
      <c r="G451" s="458">
        <v>14</v>
      </c>
      <c r="H451" s="25">
        <f>AppleData[[#This Row],[Selling Price]]*$F$11*AppleData[[#This Row],[Quantity]]</f>
        <v>47.305999999999997</v>
      </c>
    </row>
    <row r="452" spans="2:8" x14ac:dyDescent="0.45">
      <c r="B452" s="457">
        <v>43895</v>
      </c>
      <c r="C452" s="354" t="s">
        <v>2460</v>
      </c>
      <c r="D452" s="355" t="s">
        <v>2452</v>
      </c>
      <c r="E452" s="355" t="s">
        <v>2463</v>
      </c>
      <c r="F452" s="459">
        <v>79.989999999999995</v>
      </c>
      <c r="G452" s="458">
        <v>10</v>
      </c>
      <c r="H452" s="25">
        <f>AppleData[[#This Row],[Selling Price]]*$F$11*AppleData[[#This Row],[Quantity]]</f>
        <v>15.997999999999999</v>
      </c>
    </row>
    <row r="453" spans="2:8" x14ac:dyDescent="0.45">
      <c r="B453" s="457">
        <v>43895</v>
      </c>
      <c r="C453" s="354" t="s">
        <v>2459</v>
      </c>
      <c r="D453" s="355" t="s">
        <v>2464</v>
      </c>
      <c r="E453" s="355" t="s">
        <v>2453</v>
      </c>
      <c r="F453" s="459">
        <v>168.95</v>
      </c>
      <c r="G453" s="458">
        <v>12</v>
      </c>
      <c r="H453" s="25">
        <f>AppleData[[#This Row],[Selling Price]]*$F$11*AppleData[[#This Row],[Quantity]]</f>
        <v>40.548000000000002</v>
      </c>
    </row>
    <row r="454" spans="2:8" x14ac:dyDescent="0.45">
      <c r="B454" s="457">
        <v>43896</v>
      </c>
      <c r="C454" s="354" t="s">
        <v>2460</v>
      </c>
      <c r="D454" s="355" t="s">
        <v>2455</v>
      </c>
      <c r="E454" s="355" t="s">
        <v>2461</v>
      </c>
      <c r="F454" s="459">
        <v>340.95</v>
      </c>
      <c r="G454" s="458">
        <v>9</v>
      </c>
      <c r="H454" s="25">
        <f>AppleData[[#This Row],[Selling Price]]*$F$11*AppleData[[#This Row],[Quantity]]</f>
        <v>61.371000000000002</v>
      </c>
    </row>
    <row r="455" spans="2:8" x14ac:dyDescent="0.45">
      <c r="B455" s="457">
        <v>43897</v>
      </c>
      <c r="C455" s="354" t="s">
        <v>2465</v>
      </c>
      <c r="D455" s="355" t="s">
        <v>2449</v>
      </c>
      <c r="E455" s="355" t="s">
        <v>2450</v>
      </c>
      <c r="F455" s="459">
        <v>799.95</v>
      </c>
      <c r="G455" s="458">
        <v>11</v>
      </c>
      <c r="H455" s="25">
        <f>AppleData[[#This Row],[Selling Price]]*$F$11*AppleData[[#This Row],[Quantity]]</f>
        <v>175.989</v>
      </c>
    </row>
    <row r="456" spans="2:8" x14ac:dyDescent="0.45">
      <c r="B456" s="457">
        <v>43897</v>
      </c>
      <c r="C456" s="354" t="s">
        <v>2454</v>
      </c>
      <c r="D456" s="355" t="s">
        <v>2455</v>
      </c>
      <c r="E456" s="355" t="s">
        <v>2456</v>
      </c>
      <c r="F456" s="459">
        <v>340.95</v>
      </c>
      <c r="G456" s="458">
        <v>4</v>
      </c>
      <c r="H456" s="25">
        <f>AppleData[[#This Row],[Selling Price]]*$F$11*AppleData[[#This Row],[Quantity]]</f>
        <v>27.276</v>
      </c>
    </row>
    <row r="457" spans="2:8" x14ac:dyDescent="0.45">
      <c r="B457" s="457">
        <v>43897</v>
      </c>
      <c r="C457" s="354" t="s">
        <v>2460</v>
      </c>
      <c r="D457" s="355" t="s">
        <v>2449</v>
      </c>
      <c r="E457" s="355" t="s">
        <v>2463</v>
      </c>
      <c r="F457" s="459">
        <v>79.989999999999995</v>
      </c>
      <c r="G457" s="458">
        <v>8</v>
      </c>
      <c r="H457" s="25">
        <f>AppleData[[#This Row],[Selling Price]]*$F$11*AppleData[[#This Row],[Quantity]]</f>
        <v>12.798399999999999</v>
      </c>
    </row>
    <row r="458" spans="2:8" x14ac:dyDescent="0.45">
      <c r="B458" s="457">
        <v>43897</v>
      </c>
      <c r="C458" s="354" t="s">
        <v>2448</v>
      </c>
      <c r="D458" s="355" t="s">
        <v>2449</v>
      </c>
      <c r="E458" s="355" t="s">
        <v>2461</v>
      </c>
      <c r="F458" s="459">
        <v>340.95</v>
      </c>
      <c r="G458" s="458">
        <v>1</v>
      </c>
      <c r="H458" s="25">
        <f>AppleData[[#This Row],[Selling Price]]*$F$11*AppleData[[#This Row],[Quantity]]</f>
        <v>6.819</v>
      </c>
    </row>
    <row r="459" spans="2:8" x14ac:dyDescent="0.45">
      <c r="B459" s="457">
        <v>43897</v>
      </c>
      <c r="C459" s="354" t="s">
        <v>2448</v>
      </c>
      <c r="D459" s="355" t="s">
        <v>2449</v>
      </c>
      <c r="E459" s="355" t="s">
        <v>2463</v>
      </c>
      <c r="F459" s="459">
        <v>79.989999999999995</v>
      </c>
      <c r="G459" s="458">
        <v>5</v>
      </c>
      <c r="H459" s="25">
        <f>AppleData[[#This Row],[Selling Price]]*$F$11*AppleData[[#This Row],[Quantity]]</f>
        <v>7.9989999999999997</v>
      </c>
    </row>
    <row r="460" spans="2:8" x14ac:dyDescent="0.45">
      <c r="B460" s="457">
        <v>43898</v>
      </c>
      <c r="C460" s="354" t="s">
        <v>2460</v>
      </c>
      <c r="D460" s="355" t="s">
        <v>2449</v>
      </c>
      <c r="E460" s="355" t="s">
        <v>2456</v>
      </c>
      <c r="F460" s="459">
        <v>340.95</v>
      </c>
      <c r="G460" s="458">
        <v>15</v>
      </c>
      <c r="H460" s="25">
        <f>AppleData[[#This Row],[Selling Price]]*$F$11*AppleData[[#This Row],[Quantity]]</f>
        <v>102.285</v>
      </c>
    </row>
    <row r="461" spans="2:8" x14ac:dyDescent="0.45">
      <c r="B461" s="457">
        <v>43899</v>
      </c>
      <c r="C461" s="354" t="s">
        <v>2457</v>
      </c>
      <c r="D461" s="355" t="s">
        <v>2464</v>
      </c>
      <c r="E461" s="355" t="s">
        <v>2461</v>
      </c>
      <c r="F461" s="459">
        <v>340.95</v>
      </c>
      <c r="G461" s="458">
        <v>13</v>
      </c>
      <c r="H461" s="25">
        <f>AppleData[[#This Row],[Selling Price]]*$F$11*AppleData[[#This Row],[Quantity]]</f>
        <v>88.647000000000006</v>
      </c>
    </row>
    <row r="462" spans="2:8" x14ac:dyDescent="0.45">
      <c r="B462" s="457">
        <v>43899</v>
      </c>
      <c r="C462" s="354" t="s">
        <v>2457</v>
      </c>
      <c r="D462" s="355" t="s">
        <v>2458</v>
      </c>
      <c r="E462" s="355" t="s">
        <v>2461</v>
      </c>
      <c r="F462" s="459">
        <v>340.95</v>
      </c>
      <c r="G462" s="458">
        <v>12</v>
      </c>
      <c r="H462" s="25">
        <f>AppleData[[#This Row],[Selling Price]]*$F$11*AppleData[[#This Row],[Quantity]]</f>
        <v>81.828000000000003</v>
      </c>
    </row>
    <row r="463" spans="2:8" x14ac:dyDescent="0.45">
      <c r="B463" s="460" t="s">
        <v>2704</v>
      </c>
      <c r="C463" s="461"/>
      <c r="D463" s="462"/>
      <c r="E463" s="462">
        <f>SUBTOTAL(103,AppleData[Product])</f>
        <v>447</v>
      </c>
      <c r="F463" s="462"/>
      <c r="G463" s="463">
        <f>SUBTOTAL(103,AppleData[Quantity])</f>
        <v>447</v>
      </c>
      <c r="H463"/>
    </row>
  </sheetData>
  <pageMargins left="0.7" right="0.7" top="0.75" bottom="0.75" header="0.3" footer="0.3"/>
  <pageSetup orientation="portrait" r:id="rId1"/>
  <drawing r:id="rId2"/>
  <tableParts count="1">
    <tablePart r:id="rId3"/>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8D5A-988F-4913-9C70-965196B55DC1}">
  <sheetPr codeName="Sheet6">
    <tabColor rgb="FFC00000"/>
  </sheetPr>
  <dimension ref="A2:T50"/>
  <sheetViews>
    <sheetView showGridLines="0" topLeftCell="A11" zoomScale="77" workbookViewId="0">
      <selection activeCell="S48" sqref="S48"/>
    </sheetView>
  </sheetViews>
  <sheetFormatPr defaultColWidth="9.1796875" defaultRowHeight="16" x14ac:dyDescent="0.45"/>
  <cols>
    <col min="1" max="1" width="2.453125" style="25" customWidth="1"/>
    <col min="2" max="2" width="20.26953125" style="25" customWidth="1"/>
    <col min="3" max="10" width="10.81640625" style="25" customWidth="1"/>
    <col min="11" max="11" width="12.36328125" style="25" customWidth="1"/>
    <col min="12" max="19" width="10.81640625" style="25" customWidth="1"/>
    <col min="20" max="20" width="2.81640625" style="25" customWidth="1"/>
    <col min="21" max="16384" width="9.1796875" style="25"/>
  </cols>
  <sheetData>
    <row r="2" spans="1:20" x14ac:dyDescent="0.45">
      <c r="B2" s="126"/>
      <c r="C2" s="126"/>
      <c r="D2" s="126"/>
      <c r="E2" s="126"/>
      <c r="F2" s="126"/>
      <c r="G2" s="126"/>
      <c r="H2" s="126"/>
      <c r="I2" s="126"/>
      <c r="J2" s="126"/>
      <c r="K2" s="126"/>
      <c r="L2" s="126"/>
      <c r="M2" s="126"/>
      <c r="N2" s="126"/>
      <c r="O2" s="126"/>
      <c r="P2" s="126"/>
      <c r="Q2" s="126"/>
      <c r="R2" s="126"/>
      <c r="S2" s="126"/>
      <c r="T2" s="126"/>
    </row>
    <row r="3" spans="1:20" x14ac:dyDescent="0.45">
      <c r="B3" s="127" t="s">
        <v>326</v>
      </c>
      <c r="C3" s="128"/>
      <c r="D3" s="126"/>
      <c r="E3" s="126"/>
      <c r="F3" s="126"/>
      <c r="G3" s="126"/>
      <c r="H3" s="126"/>
      <c r="I3" s="126"/>
      <c r="J3" s="126"/>
      <c r="K3" s="126"/>
      <c r="L3" s="126"/>
      <c r="M3" s="126"/>
      <c r="N3" s="126"/>
      <c r="O3" s="126"/>
      <c r="P3" s="126"/>
      <c r="Q3" s="126"/>
      <c r="R3" s="126"/>
      <c r="S3" s="126"/>
      <c r="T3" s="126"/>
    </row>
    <row r="4" spans="1:20" x14ac:dyDescent="0.45">
      <c r="B4" s="128" t="s">
        <v>364</v>
      </c>
      <c r="C4" s="126"/>
      <c r="D4" s="126"/>
      <c r="E4" s="126"/>
      <c r="F4" s="126"/>
      <c r="G4" s="126"/>
      <c r="H4" s="126"/>
      <c r="I4" s="126"/>
      <c r="J4" s="126"/>
      <c r="K4" s="126"/>
      <c r="L4" s="126"/>
      <c r="M4" s="126"/>
      <c r="N4" s="126"/>
      <c r="O4" s="126"/>
      <c r="P4" s="126"/>
      <c r="Q4" s="126"/>
      <c r="R4" s="126"/>
      <c r="S4" s="126"/>
      <c r="T4" s="126"/>
    </row>
    <row r="6" spans="1:20" x14ac:dyDescent="0.45">
      <c r="B6" s="189" t="s">
        <v>395</v>
      </c>
      <c r="C6" s="190"/>
      <c r="D6" s="190"/>
      <c r="E6" s="190"/>
      <c r="F6" s="190"/>
      <c r="G6" s="190"/>
      <c r="H6" s="190"/>
      <c r="I6" s="190"/>
      <c r="J6" s="190"/>
      <c r="K6" s="231" t="s">
        <v>422</v>
      </c>
      <c r="L6" s="142"/>
      <c r="M6" s="142"/>
      <c r="N6" s="142"/>
      <c r="O6" s="144"/>
      <c r="P6" s="142"/>
      <c r="Q6" s="142"/>
    </row>
    <row r="7" spans="1:20" ht="6" customHeight="1" x14ac:dyDescent="0.45"/>
    <row r="8" spans="1:20" x14ac:dyDescent="0.45">
      <c r="B8" s="25" t="s">
        <v>424</v>
      </c>
    </row>
    <row r="9" spans="1:20" ht="6" customHeight="1" x14ac:dyDescent="0.45"/>
    <row r="10" spans="1:20" x14ac:dyDescent="0.45">
      <c r="B10" s="25" t="s">
        <v>396</v>
      </c>
    </row>
    <row r="11" spans="1:20" x14ac:dyDescent="0.45">
      <c r="B11" s="25" t="s">
        <v>309</v>
      </c>
    </row>
    <row r="14" spans="1:20" x14ac:dyDescent="0.45">
      <c r="A14" s="61"/>
      <c r="B14" s="191" t="s">
        <v>423</v>
      </c>
      <c r="C14" s="192"/>
      <c r="D14" s="192"/>
      <c r="E14" s="192"/>
      <c r="F14" s="192"/>
      <c r="G14" s="192"/>
      <c r="H14" s="192"/>
      <c r="I14" s="192"/>
      <c r="J14" s="192"/>
      <c r="K14" s="192"/>
      <c r="L14" s="192"/>
      <c r="M14" s="192"/>
      <c r="N14" s="192"/>
      <c r="O14" s="192"/>
      <c r="P14" s="192"/>
      <c r="Q14" s="192"/>
      <c r="R14" s="192"/>
      <c r="S14" s="193"/>
    </row>
    <row r="15" spans="1:20" ht="4" customHeight="1" thickBot="1" x14ac:dyDescent="0.5">
      <c r="A15" s="61"/>
      <c r="B15" s="62"/>
      <c r="C15" s="62"/>
      <c r="D15" s="62"/>
      <c r="E15" s="62"/>
      <c r="F15" s="62"/>
      <c r="G15" s="62"/>
      <c r="H15" s="62"/>
      <c r="I15" s="62"/>
      <c r="J15" s="62"/>
      <c r="K15" s="62"/>
      <c r="L15" s="62"/>
      <c r="M15" s="62"/>
      <c r="N15" s="62"/>
      <c r="O15" s="62"/>
      <c r="P15" s="62"/>
      <c r="Q15" s="62"/>
      <c r="R15" s="62"/>
      <c r="S15" s="62"/>
    </row>
    <row r="16" spans="1:20" ht="16.5" thickBot="1" x14ac:dyDescent="0.5">
      <c r="A16" s="61"/>
      <c r="B16" s="63">
        <f>S48</f>
        <v>536732.13759012858</v>
      </c>
      <c r="C16" s="64" t="s">
        <v>264</v>
      </c>
      <c r="D16" s="64" t="s">
        <v>265</v>
      </c>
      <c r="E16" s="64" t="s">
        <v>266</v>
      </c>
      <c r="F16" s="65" t="s">
        <v>267</v>
      </c>
      <c r="G16" s="64" t="s">
        <v>268</v>
      </c>
      <c r="H16" s="64" t="s">
        <v>269</v>
      </c>
      <c r="I16" s="64" t="s">
        <v>270</v>
      </c>
      <c r="J16" s="65" t="s">
        <v>271</v>
      </c>
      <c r="K16" s="64" t="s">
        <v>272</v>
      </c>
      <c r="L16" s="64" t="s">
        <v>273</v>
      </c>
      <c r="M16" s="64" t="s">
        <v>274</v>
      </c>
      <c r="N16" s="65" t="s">
        <v>275</v>
      </c>
      <c r="O16" s="64" t="s">
        <v>276</v>
      </c>
      <c r="P16" s="64" t="s">
        <v>277</v>
      </c>
      <c r="Q16" s="64" t="s">
        <v>278</v>
      </c>
      <c r="R16" s="65" t="s">
        <v>279</v>
      </c>
      <c r="S16" s="66" t="s">
        <v>280</v>
      </c>
      <c r="T16" s="61"/>
    </row>
    <row r="17" spans="1:20" x14ac:dyDescent="0.45">
      <c r="A17" s="61"/>
      <c r="B17" s="67" t="s">
        <v>281</v>
      </c>
      <c r="C17" s="68">
        <v>0.01</v>
      </c>
      <c r="D17" s="69"/>
      <c r="E17" s="69"/>
      <c r="F17" s="70"/>
      <c r="G17" s="71">
        <v>0.03</v>
      </c>
      <c r="H17" s="72"/>
      <c r="I17" s="72"/>
      <c r="J17" s="70"/>
      <c r="K17" s="71">
        <v>0.02</v>
      </c>
      <c r="L17" s="72"/>
      <c r="M17" s="72"/>
      <c r="N17" s="70"/>
      <c r="O17" s="71">
        <v>0.03</v>
      </c>
      <c r="P17" s="72"/>
      <c r="Q17" s="72"/>
      <c r="R17" s="70"/>
      <c r="S17" s="73"/>
      <c r="T17" s="61"/>
    </row>
    <row r="18" spans="1:20" x14ac:dyDescent="0.45">
      <c r="A18" s="61"/>
      <c r="B18" s="74" t="s">
        <v>225</v>
      </c>
      <c r="C18" s="75">
        <v>137000</v>
      </c>
      <c r="D18" s="76">
        <f>C18*(1+$C$17)</f>
        <v>138370</v>
      </c>
      <c r="E18" s="76">
        <f t="shared" ref="E18" si="0">D18*(1+$C$17)</f>
        <v>139753.70000000001</v>
      </c>
      <c r="F18" s="486">
        <f>C18+D18+E18</f>
        <v>415123.7</v>
      </c>
      <c r="G18" s="76">
        <f>E18*(1+$G$17)</f>
        <v>143946.31100000002</v>
      </c>
      <c r="H18" s="76">
        <f>G18*(1+$G$17)</f>
        <v>148264.70033000002</v>
      </c>
      <c r="I18" s="76">
        <f t="shared" ref="I18:I19" si="1">H18*(1+$G$17)</f>
        <v>152712.64133990003</v>
      </c>
      <c r="J18" s="486">
        <f>G18+H18+I18</f>
        <v>444923.65266990004</v>
      </c>
      <c r="K18" s="76">
        <f>I18*(1+$K$17)</f>
        <v>155766.89416669804</v>
      </c>
      <c r="L18" s="76">
        <f>K18*(1+$K$17)</f>
        <v>158882.23205003201</v>
      </c>
      <c r="M18" s="76">
        <f t="shared" ref="L18:M19" si="2">L18*(1+$K$17)</f>
        <v>162059.87669103264</v>
      </c>
      <c r="N18" s="486">
        <f>K18+L18+M18</f>
        <v>476709.00290776265</v>
      </c>
      <c r="O18" s="76">
        <f>M18*(1+$O$17)</f>
        <v>166921.67299176363</v>
      </c>
      <c r="P18" s="76">
        <f t="shared" ref="P18:Q19" si="3">O18*(1+$O$17)</f>
        <v>171929.32318151655</v>
      </c>
      <c r="Q18" s="76">
        <f t="shared" si="3"/>
        <v>177087.20287696205</v>
      </c>
      <c r="R18" s="486">
        <f>O18+P18+Q18</f>
        <v>515938.1990502422</v>
      </c>
      <c r="S18" s="488">
        <f>F18+J18+N18+R18</f>
        <v>1852694.5546279047</v>
      </c>
      <c r="T18" s="61"/>
    </row>
    <row r="19" spans="1:20" ht="16.5" thickBot="1" x14ac:dyDescent="0.5">
      <c r="A19" s="61"/>
      <c r="B19" s="79" t="s">
        <v>282</v>
      </c>
      <c r="C19" s="80">
        <v>26700</v>
      </c>
      <c r="D19" s="76">
        <f t="shared" ref="D19:D21" si="4">C19*(1+$C$17)</f>
        <v>26967</v>
      </c>
      <c r="E19" s="76">
        <f>D19*(1+C$17)</f>
        <v>27236.670000000002</v>
      </c>
      <c r="F19" s="486">
        <f>C19+D19+E19</f>
        <v>80903.67</v>
      </c>
      <c r="G19" s="76">
        <f>E19*(1+$G$17)</f>
        <v>28053.770100000002</v>
      </c>
      <c r="H19" s="76">
        <f>G19*(1+$G$17)</f>
        <v>28895.383203000001</v>
      </c>
      <c r="I19" s="76">
        <f t="shared" si="1"/>
        <v>29762.244699090003</v>
      </c>
      <c r="J19" s="486">
        <f>G19+H19+I19</f>
        <v>86711.398002090005</v>
      </c>
      <c r="K19" s="76">
        <f>I19*(1+$K$17)</f>
        <v>30357.489593071805</v>
      </c>
      <c r="L19" s="76">
        <f t="shared" si="2"/>
        <v>30964.639384933242</v>
      </c>
      <c r="M19" s="76">
        <f t="shared" si="2"/>
        <v>31583.932172631907</v>
      </c>
      <c r="N19" s="486">
        <f>K19+L19+M19</f>
        <v>92906.061150636946</v>
      </c>
      <c r="O19" s="76">
        <f>M19*(1+$O$17)</f>
        <v>32531.450137810865</v>
      </c>
      <c r="P19" s="76">
        <f t="shared" si="3"/>
        <v>33507.393641945193</v>
      </c>
      <c r="Q19" s="76">
        <f t="shared" si="3"/>
        <v>34512.61545120355</v>
      </c>
      <c r="R19" s="486">
        <f>O19+P19+Q19</f>
        <v>100551.45923095962</v>
      </c>
      <c r="S19" s="488">
        <f>F19+J19+N19+R19</f>
        <v>361072.58838368661</v>
      </c>
      <c r="T19" s="61"/>
    </row>
    <row r="20" spans="1:20" x14ac:dyDescent="0.45">
      <c r="A20" s="61"/>
      <c r="B20" s="81" t="s">
        <v>281</v>
      </c>
      <c r="C20" s="82">
        <f>C18+C19</f>
        <v>163700</v>
      </c>
      <c r="D20" s="82">
        <f>D18+D19</f>
        <v>165337</v>
      </c>
      <c r="E20" s="82">
        <f t="shared" ref="E20:R20" si="5">E18+E19</f>
        <v>166990.37000000002</v>
      </c>
      <c r="F20" s="487">
        <f>F18+F19</f>
        <v>496027.37</v>
      </c>
      <c r="G20" s="82">
        <f t="shared" si="5"/>
        <v>172000.08110000001</v>
      </c>
      <c r="H20" s="82">
        <f t="shared" si="5"/>
        <v>177160.08353300003</v>
      </c>
      <c r="I20" s="82">
        <f t="shared" si="5"/>
        <v>182474.88603899002</v>
      </c>
      <c r="J20" s="487">
        <f>J18+J19</f>
        <v>531635.05067199003</v>
      </c>
      <c r="K20" s="82">
        <f t="shared" si="5"/>
        <v>186124.38375976984</v>
      </c>
      <c r="L20" s="82">
        <f t="shared" si="5"/>
        <v>189846.87143496526</v>
      </c>
      <c r="M20" s="82">
        <f t="shared" si="5"/>
        <v>193643.80886366454</v>
      </c>
      <c r="N20" s="487">
        <f t="shared" si="5"/>
        <v>569615.06405839964</v>
      </c>
      <c r="O20" s="82">
        <f t="shared" si="5"/>
        <v>199453.12312957449</v>
      </c>
      <c r="P20" s="82">
        <f t="shared" si="5"/>
        <v>205436.71682346176</v>
      </c>
      <c r="Q20" s="82">
        <f t="shared" si="5"/>
        <v>211599.81832816559</v>
      </c>
      <c r="R20" s="487">
        <f t="shared" si="5"/>
        <v>616489.65828120185</v>
      </c>
      <c r="S20" s="488">
        <f>S18+S19</f>
        <v>2213767.1430115914</v>
      </c>
      <c r="T20" s="61"/>
    </row>
    <row r="21" spans="1:20" ht="4" customHeight="1" x14ac:dyDescent="0.45">
      <c r="A21" s="61"/>
      <c r="B21" s="83"/>
      <c r="C21" s="84"/>
      <c r="D21" s="76">
        <f t="shared" si="4"/>
        <v>0</v>
      </c>
      <c r="E21" s="76">
        <f t="shared" ref="E21" si="6">D21*0.1</f>
        <v>0</v>
      </c>
      <c r="F21" s="77">
        <f t="shared" ref="F21" si="7">C21+D21+E21</f>
        <v>0</v>
      </c>
      <c r="G21" s="76">
        <f t="shared" ref="G21" si="8">F21*(1+$G$17)</f>
        <v>0</v>
      </c>
      <c r="H21" s="84"/>
      <c r="I21" s="84"/>
      <c r="J21" s="194"/>
      <c r="K21" s="76">
        <f t="shared" ref="K21:K22" si="9">J21*(1+$K$17)</f>
        <v>0</v>
      </c>
      <c r="L21" s="84"/>
      <c r="M21" s="84"/>
      <c r="N21" s="194"/>
      <c r="O21" s="76">
        <f t="shared" ref="O21:Q23" si="10">N21*(1+$O$17)</f>
        <v>0</v>
      </c>
      <c r="P21" s="84"/>
      <c r="Q21" s="84"/>
      <c r="R21" s="194"/>
      <c r="S21" s="78"/>
      <c r="T21" s="61"/>
    </row>
    <row r="22" spans="1:20" x14ac:dyDescent="0.45">
      <c r="A22" s="61"/>
      <c r="B22" s="85" t="s">
        <v>283</v>
      </c>
      <c r="C22" s="84"/>
      <c r="D22" s="76"/>
      <c r="E22" s="76"/>
      <c r="F22" s="77"/>
      <c r="G22" s="76"/>
      <c r="H22" s="84"/>
      <c r="I22" s="84"/>
      <c r="J22" s="194"/>
      <c r="K22" s="76">
        <f t="shared" si="9"/>
        <v>0</v>
      </c>
      <c r="L22" s="84"/>
      <c r="M22" s="84"/>
      <c r="N22" s="194"/>
      <c r="O22" s="76"/>
      <c r="P22" s="84"/>
      <c r="Q22" s="84"/>
      <c r="R22" s="194"/>
      <c r="S22" s="78"/>
      <c r="T22" s="61"/>
    </row>
    <row r="23" spans="1:20" x14ac:dyDescent="0.45">
      <c r="A23" s="61"/>
      <c r="B23" s="74" t="s">
        <v>284</v>
      </c>
      <c r="C23" s="75">
        <v>76500</v>
      </c>
      <c r="D23" s="76">
        <f>C23*(1+$C$17)</f>
        <v>77265</v>
      </c>
      <c r="E23" s="76">
        <f>D23*(1+$C$17)</f>
        <v>78037.649999999994</v>
      </c>
      <c r="F23" s="486">
        <f>C23+D23+E23</f>
        <v>231802.65</v>
      </c>
      <c r="G23" s="76">
        <f>E23*(1+$G$17)</f>
        <v>80378.77949999999</v>
      </c>
      <c r="H23" s="76">
        <f>G23*(1+$G$17)</f>
        <v>82790.142884999994</v>
      </c>
      <c r="I23" s="76">
        <f>H23*(1+$G$17)</f>
        <v>85273.847171549991</v>
      </c>
      <c r="J23" s="486">
        <f>G23+H23+I23</f>
        <v>248442.76955654996</v>
      </c>
      <c r="K23" s="76">
        <f>I23*(1+$K$17)</f>
        <v>86979.324114980991</v>
      </c>
      <c r="L23" s="76">
        <f>K23*(1+$K$17)</f>
        <v>88718.910597280614</v>
      </c>
      <c r="M23" s="76">
        <f t="shared" ref="M23" si="11">L23*(1+$K$17)</f>
        <v>90493.288809226229</v>
      </c>
      <c r="N23" s="486">
        <f>K23+L23+M23</f>
        <v>266191.52352148783</v>
      </c>
      <c r="O23" s="76">
        <f>M23*(1+$O$17)</f>
        <v>93208.087473503023</v>
      </c>
      <c r="P23" s="76">
        <f t="shared" si="10"/>
        <v>96004.330097708109</v>
      </c>
      <c r="Q23" s="76">
        <f t="shared" si="10"/>
        <v>98884.460000639359</v>
      </c>
      <c r="R23" s="486">
        <f>O23+P23+Q23</f>
        <v>288096.87757185049</v>
      </c>
      <c r="S23" s="488">
        <f>F23+J23+N23+R23</f>
        <v>1034533.8206498884</v>
      </c>
      <c r="T23" s="61"/>
    </row>
    <row r="24" spans="1:20" x14ac:dyDescent="0.45">
      <c r="A24" s="61"/>
      <c r="B24" s="74" t="s">
        <v>285</v>
      </c>
      <c r="C24" s="75">
        <v>1300</v>
      </c>
      <c r="D24" s="76">
        <f t="shared" ref="D24:E24" si="12">C24*(1+$C$17)</f>
        <v>1313</v>
      </c>
      <c r="E24" s="76">
        <f t="shared" si="12"/>
        <v>1326.13</v>
      </c>
      <c r="F24" s="486">
        <f t="shared" ref="F24:F25" si="13">C24+D24+E24</f>
        <v>3939.13</v>
      </c>
      <c r="G24" s="76">
        <f t="shared" ref="G24:G25" si="14">E24*(1+$G$17)</f>
        <v>1365.9139000000002</v>
      </c>
      <c r="H24" s="76">
        <f t="shared" ref="H24:I24" si="15">G24*(1+$G$17)</f>
        <v>1406.8913170000003</v>
      </c>
      <c r="I24" s="76">
        <f t="shared" si="15"/>
        <v>1449.0980565100003</v>
      </c>
      <c r="J24" s="486">
        <f t="shared" ref="J24:J25" si="16">G24+H24+I24</f>
        <v>4221.9032735100009</v>
      </c>
      <c r="K24" s="76">
        <f t="shared" ref="K24:K25" si="17">I24*(1+$K$17)</f>
        <v>1478.0800176402004</v>
      </c>
      <c r="L24" s="76">
        <f t="shared" ref="L24:M24" si="18">K24*(1+$K$17)</f>
        <v>1507.6416179930045</v>
      </c>
      <c r="M24" s="76">
        <f t="shared" si="18"/>
        <v>1537.7944503528647</v>
      </c>
      <c r="N24" s="486">
        <f t="shared" ref="N24:N25" si="19">K24+L24+M24</f>
        <v>4523.5160859860698</v>
      </c>
      <c r="O24" s="76">
        <f t="shared" ref="O24:O25" si="20">M24*(1+$O$17)</f>
        <v>1583.9282838634506</v>
      </c>
      <c r="P24" s="76">
        <f>O24*(1+$O$17)</f>
        <v>1631.4461323793541</v>
      </c>
      <c r="Q24" s="76">
        <f t="shared" ref="Q24:R24" si="21">P24*(1+$O$17)</f>
        <v>1680.3895163507348</v>
      </c>
      <c r="R24" s="486">
        <f t="shared" si="21"/>
        <v>1730.8012018412569</v>
      </c>
      <c r="S24" s="488">
        <f>F24+J24+N24+R24</f>
        <v>14415.350561337329</v>
      </c>
      <c r="T24" s="61"/>
    </row>
    <row r="25" spans="1:20" x14ac:dyDescent="0.45">
      <c r="A25" s="61"/>
      <c r="B25" s="79" t="s">
        <v>286</v>
      </c>
      <c r="C25" s="86">
        <v>500</v>
      </c>
      <c r="D25" s="76">
        <f t="shared" ref="D25:E25" si="22">C25*(1+$C$17)</f>
        <v>505</v>
      </c>
      <c r="E25" s="76">
        <f t="shared" si="22"/>
        <v>510.05</v>
      </c>
      <c r="F25" s="486">
        <f t="shared" si="13"/>
        <v>1515.05</v>
      </c>
      <c r="G25" s="76">
        <f t="shared" si="14"/>
        <v>525.35149999999999</v>
      </c>
      <c r="H25" s="76">
        <f t="shared" ref="H25:I25" si="23">G25*(1+$G$17)</f>
        <v>541.11204499999997</v>
      </c>
      <c r="I25" s="76">
        <f t="shared" si="23"/>
        <v>557.34540634999996</v>
      </c>
      <c r="J25" s="486">
        <f t="shared" si="16"/>
        <v>1623.8089513499999</v>
      </c>
      <c r="K25" s="76">
        <f t="shared" si="17"/>
        <v>568.49231447699992</v>
      </c>
      <c r="L25" s="76">
        <f t="shared" ref="L25:M25" si="24">K25*(1+$K$17)</f>
        <v>579.86216076653989</v>
      </c>
      <c r="M25" s="76">
        <f t="shared" si="24"/>
        <v>591.45940398187065</v>
      </c>
      <c r="N25" s="486">
        <f t="shared" si="19"/>
        <v>1739.8138792254103</v>
      </c>
      <c r="O25" s="76">
        <f t="shared" si="20"/>
        <v>609.20318610132676</v>
      </c>
      <c r="P25" s="76">
        <f t="shared" ref="P25:R25" si="25">O25*(1+$O$17)</f>
        <v>627.47928168436658</v>
      </c>
      <c r="Q25" s="76">
        <f t="shared" si="25"/>
        <v>646.30366013489754</v>
      </c>
      <c r="R25" s="486">
        <f t="shared" si="25"/>
        <v>665.69276993894448</v>
      </c>
      <c r="S25" s="488">
        <f>F25+J25+N25+R25</f>
        <v>5544.3656005143548</v>
      </c>
      <c r="T25" s="61"/>
    </row>
    <row r="26" spans="1:20" ht="16.5" thickBot="1" x14ac:dyDescent="0.5">
      <c r="A26" s="61"/>
      <c r="B26" s="87" t="s">
        <v>287</v>
      </c>
      <c r="C26" s="88">
        <f>C23+C24+C25</f>
        <v>78300</v>
      </c>
      <c r="D26" s="88">
        <f t="shared" ref="D26:R26" si="26">D23+D24+D25</f>
        <v>79083</v>
      </c>
      <c r="E26" s="88">
        <f t="shared" si="26"/>
        <v>79873.83</v>
      </c>
      <c r="F26" s="489">
        <f t="shared" si="26"/>
        <v>237256.83</v>
      </c>
      <c r="G26" s="88">
        <f t="shared" si="26"/>
        <v>82270.044899999994</v>
      </c>
      <c r="H26" s="88">
        <f t="shared" si="26"/>
        <v>84738.146246999997</v>
      </c>
      <c r="I26" s="88">
        <f t="shared" si="26"/>
        <v>87280.29063440999</v>
      </c>
      <c r="J26" s="489">
        <f t="shared" si="26"/>
        <v>254288.48178140994</v>
      </c>
      <c r="K26" s="88">
        <f>K23+K24+K25</f>
        <v>89025.896447098188</v>
      </c>
      <c r="L26" s="88">
        <f t="shared" si="26"/>
        <v>90806.414376040164</v>
      </c>
      <c r="M26" s="88">
        <f t="shared" si="26"/>
        <v>92622.542663560977</v>
      </c>
      <c r="N26" s="489">
        <f t="shared" si="26"/>
        <v>272454.85348669928</v>
      </c>
      <c r="O26" s="88">
        <f t="shared" si="26"/>
        <v>95401.2189434678</v>
      </c>
      <c r="P26" s="88">
        <f t="shared" si="26"/>
        <v>98263.255511771829</v>
      </c>
      <c r="Q26" s="88">
        <f t="shared" si="26"/>
        <v>101211.153177125</v>
      </c>
      <c r="R26" s="489">
        <f t="shared" si="26"/>
        <v>290493.37154363072</v>
      </c>
      <c r="S26" s="489">
        <f>S23+S24+S25</f>
        <v>1054493.5368117401</v>
      </c>
      <c r="T26" s="61"/>
    </row>
    <row r="27" spans="1:20" ht="16.5" thickBot="1" x14ac:dyDescent="0.5">
      <c r="A27" s="61"/>
      <c r="B27" s="89" t="s">
        <v>288</v>
      </c>
      <c r="C27" s="88">
        <f>C20-C26</f>
        <v>85400</v>
      </c>
      <c r="D27" s="88">
        <f t="shared" ref="D27:R27" si="27">D20-D26</f>
        <v>86254</v>
      </c>
      <c r="E27" s="88">
        <f t="shared" si="27"/>
        <v>87116.540000000023</v>
      </c>
      <c r="F27" s="88">
        <f t="shared" si="27"/>
        <v>258770.54</v>
      </c>
      <c r="G27" s="88">
        <f t="shared" si="27"/>
        <v>89730.036200000017</v>
      </c>
      <c r="H27" s="88">
        <f t="shared" si="27"/>
        <v>92421.937286000029</v>
      </c>
      <c r="I27" s="88">
        <f t="shared" si="27"/>
        <v>95194.595404580032</v>
      </c>
      <c r="J27" s="88">
        <f t="shared" si="27"/>
        <v>277346.56889058009</v>
      </c>
      <c r="K27" s="88">
        <f>K20-K26</f>
        <v>97098.487312671656</v>
      </c>
      <c r="L27" s="88">
        <f t="shared" si="27"/>
        <v>99040.457058925094</v>
      </c>
      <c r="M27" s="88">
        <f t="shared" si="27"/>
        <v>101021.26620010356</v>
      </c>
      <c r="N27" s="489">
        <f>N20-N26</f>
        <v>297160.21057170036</v>
      </c>
      <c r="O27" s="88">
        <f t="shared" si="27"/>
        <v>104051.90418610669</v>
      </c>
      <c r="P27" s="88">
        <f t="shared" si="27"/>
        <v>107173.46131168993</v>
      </c>
      <c r="Q27" s="88">
        <f t="shared" si="27"/>
        <v>110388.66515104059</v>
      </c>
      <c r="R27" s="88">
        <f t="shared" si="27"/>
        <v>325996.28673757112</v>
      </c>
      <c r="S27" s="88">
        <f>S20-S26</f>
        <v>1159273.6061998513</v>
      </c>
      <c r="T27" s="61"/>
    </row>
    <row r="28" spans="1:20" ht="4" customHeight="1" x14ac:dyDescent="0.45">
      <c r="A28" s="61"/>
      <c r="B28" s="91"/>
      <c r="C28" s="84"/>
      <c r="D28" s="84"/>
      <c r="E28" s="84"/>
      <c r="F28" s="194"/>
      <c r="G28" s="194"/>
      <c r="H28" s="194"/>
      <c r="I28" s="194"/>
      <c r="J28" s="194"/>
      <c r="K28" s="194"/>
      <c r="L28" s="194"/>
      <c r="M28" s="194"/>
      <c r="N28" s="194"/>
      <c r="O28" s="194"/>
      <c r="P28" s="194"/>
      <c r="Q28" s="194"/>
      <c r="R28" s="194"/>
      <c r="S28" s="195"/>
      <c r="T28" s="61"/>
    </row>
    <row r="29" spans="1:20" x14ac:dyDescent="0.45">
      <c r="A29" s="61"/>
      <c r="B29" s="85" t="s">
        <v>289</v>
      </c>
      <c r="C29" s="84"/>
      <c r="D29" s="84"/>
      <c r="E29" s="84"/>
      <c r="F29" s="194"/>
      <c r="G29" s="194"/>
      <c r="H29" s="194"/>
      <c r="I29" s="194"/>
      <c r="J29" s="194"/>
      <c r="K29" s="194"/>
      <c r="L29" s="194"/>
      <c r="M29" s="194"/>
      <c r="N29" s="194"/>
      <c r="O29" s="194"/>
      <c r="P29" s="194"/>
      <c r="Q29" s="194"/>
      <c r="R29" s="194"/>
      <c r="S29" s="195"/>
      <c r="T29" s="61"/>
    </row>
    <row r="30" spans="1:20" x14ac:dyDescent="0.45">
      <c r="A30" s="61"/>
      <c r="B30" s="92" t="s">
        <v>290</v>
      </c>
      <c r="C30" s="75">
        <v>18400</v>
      </c>
      <c r="D30" s="76">
        <f>C30*(1+$C$17)</f>
        <v>18584</v>
      </c>
      <c r="E30" s="76">
        <f>D30*(1+$C$17)</f>
        <v>18769.84</v>
      </c>
      <c r="F30" s="486">
        <f>C30+D30+E30</f>
        <v>55753.84</v>
      </c>
      <c r="G30" s="76">
        <f>E30*(1+$G$17)</f>
        <v>19332.9352</v>
      </c>
      <c r="H30" s="76">
        <f t="shared" ref="H30:I30" si="28">G30*(1+$G$17)</f>
        <v>19912.923256000002</v>
      </c>
      <c r="I30" s="76">
        <f t="shared" si="28"/>
        <v>20510.310953680004</v>
      </c>
      <c r="J30" s="486">
        <f>G30+H30+I30</f>
        <v>59756.169409680006</v>
      </c>
      <c r="K30" s="76">
        <f>I30*(1+$K$17)</f>
        <v>20920.517172753604</v>
      </c>
      <c r="L30" s="76">
        <f t="shared" ref="L30:M30" si="29">K30*(1+$K$17)</f>
        <v>21338.927516208674</v>
      </c>
      <c r="M30" s="76">
        <f t="shared" si="29"/>
        <v>21765.706066532846</v>
      </c>
      <c r="N30" s="486">
        <f>K30+L30+M30</f>
        <v>64025.150755495124</v>
      </c>
      <c r="O30" s="76">
        <f>M30*(1+$O$17)</f>
        <v>22418.677248528831</v>
      </c>
      <c r="P30" s="76">
        <f t="shared" ref="P30:Q30" si="30">O30*(1+$O$17)</f>
        <v>23091.237565984698</v>
      </c>
      <c r="Q30" s="76">
        <f t="shared" si="30"/>
        <v>23783.974692964239</v>
      </c>
      <c r="R30" s="486">
        <f>O30+P30+Q30</f>
        <v>69293.889507477768</v>
      </c>
      <c r="S30" s="490">
        <f>F30+J30+N30+R30</f>
        <v>248829.04967265291</v>
      </c>
      <c r="T30" s="61"/>
    </row>
    <row r="31" spans="1:20" x14ac:dyDescent="0.45">
      <c r="A31" s="61"/>
      <c r="B31" s="92" t="s">
        <v>291</v>
      </c>
      <c r="C31" s="75">
        <v>175</v>
      </c>
      <c r="D31" s="76">
        <f t="shared" ref="D31:E45" si="31">C31*(1+$C$17)</f>
        <v>176.75</v>
      </c>
      <c r="E31" s="76">
        <f t="shared" si="31"/>
        <v>178.51750000000001</v>
      </c>
      <c r="F31" s="486">
        <f t="shared" ref="F31:F45" si="32">C31+D31+E31</f>
        <v>530.26750000000004</v>
      </c>
      <c r="G31" s="76">
        <f t="shared" ref="G31:G45" si="33">E31*(1+$G$17)</f>
        <v>183.87302500000001</v>
      </c>
      <c r="H31" s="76">
        <f t="shared" ref="H31:I31" si="34">G31*(1+$G$17)</f>
        <v>189.38921575000001</v>
      </c>
      <c r="I31" s="76">
        <f t="shared" si="34"/>
        <v>195.07089222250002</v>
      </c>
      <c r="J31" s="486">
        <f t="shared" ref="J31:J45" si="35">G31+H31+I31</f>
        <v>568.33313297250004</v>
      </c>
      <c r="K31" s="76">
        <f t="shared" ref="K31:K45" si="36">I31*(1+$K$17)</f>
        <v>198.97231006695003</v>
      </c>
      <c r="L31" s="76">
        <f t="shared" ref="L31:M31" si="37">K31*(1+$K$17)</f>
        <v>202.95175626828905</v>
      </c>
      <c r="M31" s="76">
        <f t="shared" si="37"/>
        <v>207.01079139365484</v>
      </c>
      <c r="N31" s="486">
        <f t="shared" ref="N31:N45" si="38">K31+L31+M31</f>
        <v>608.93485772889392</v>
      </c>
      <c r="O31" s="76">
        <f t="shared" ref="O31:O45" si="39">M31*(1+$O$17)</f>
        <v>213.22111513546449</v>
      </c>
      <c r="P31" s="76">
        <f t="shared" ref="P31:R31" si="40">O31*(1+$O$17)</f>
        <v>219.61774858952842</v>
      </c>
      <c r="Q31" s="76">
        <f t="shared" si="40"/>
        <v>226.20628104721428</v>
      </c>
      <c r="R31" s="486">
        <f t="shared" si="40"/>
        <v>232.99246947863071</v>
      </c>
      <c r="S31" s="490">
        <f>F31+J31+N31+R31</f>
        <v>1940.5279601800246</v>
      </c>
      <c r="T31" s="61"/>
    </row>
    <row r="32" spans="1:20" x14ac:dyDescent="0.45">
      <c r="A32" s="61"/>
      <c r="B32" s="92" t="s">
        <v>292</v>
      </c>
      <c r="C32" s="75">
        <v>200</v>
      </c>
      <c r="D32" s="76">
        <f t="shared" si="31"/>
        <v>202</v>
      </c>
      <c r="E32" s="76">
        <f t="shared" si="31"/>
        <v>204.02</v>
      </c>
      <c r="F32" s="486">
        <f t="shared" si="32"/>
        <v>606.02</v>
      </c>
      <c r="G32" s="76">
        <f t="shared" si="33"/>
        <v>210.14060000000001</v>
      </c>
      <c r="H32" s="76">
        <f t="shared" ref="H32:I32" si="41">G32*(1+$G$17)</f>
        <v>216.444818</v>
      </c>
      <c r="I32" s="76">
        <f t="shared" si="41"/>
        <v>222.93816254000001</v>
      </c>
      <c r="J32" s="486">
        <f t="shared" si="35"/>
        <v>649.52358054000001</v>
      </c>
      <c r="K32" s="76">
        <f t="shared" si="36"/>
        <v>227.3969257908</v>
      </c>
      <c r="L32" s="76">
        <f t="shared" ref="L32:M32" si="42">K32*(1+$K$17)</f>
        <v>231.94486430661601</v>
      </c>
      <c r="M32" s="76">
        <f t="shared" si="42"/>
        <v>236.58376159274835</v>
      </c>
      <c r="N32" s="486">
        <f t="shared" si="38"/>
        <v>695.92555169016441</v>
      </c>
      <c r="O32" s="76">
        <f t="shared" si="39"/>
        <v>243.68127444053081</v>
      </c>
      <c r="P32" s="76">
        <f t="shared" ref="P32:R32" si="43">O32*(1+$O$17)</f>
        <v>250.99171267374675</v>
      </c>
      <c r="Q32" s="76">
        <f t="shared" si="43"/>
        <v>258.52146405395916</v>
      </c>
      <c r="R32" s="486">
        <f t="shared" si="43"/>
        <v>266.27710797557796</v>
      </c>
      <c r="S32" s="490">
        <f t="shared" ref="S32:S45" si="44">F32+J32+N32+R32</f>
        <v>2217.7462402057422</v>
      </c>
      <c r="T32" s="61"/>
    </row>
    <row r="33" spans="1:20" x14ac:dyDescent="0.45">
      <c r="A33" s="61"/>
      <c r="B33" s="92" t="s">
        <v>293</v>
      </c>
      <c r="C33" s="75">
        <v>162</v>
      </c>
      <c r="D33" s="76">
        <f t="shared" si="31"/>
        <v>163.62</v>
      </c>
      <c r="E33" s="76">
        <f t="shared" si="31"/>
        <v>165.25620000000001</v>
      </c>
      <c r="F33" s="486">
        <f t="shared" si="32"/>
        <v>490.87620000000004</v>
      </c>
      <c r="G33" s="76">
        <f t="shared" si="33"/>
        <v>170.213886</v>
      </c>
      <c r="H33" s="76">
        <f t="shared" ref="H33:I33" si="45">G33*(1+$G$17)</f>
        <v>175.32030258</v>
      </c>
      <c r="I33" s="76">
        <f t="shared" si="45"/>
        <v>180.5799116574</v>
      </c>
      <c r="J33" s="486">
        <f t="shared" si="35"/>
        <v>526.11410023739995</v>
      </c>
      <c r="K33" s="76">
        <f t="shared" si="36"/>
        <v>184.19150989054802</v>
      </c>
      <c r="L33" s="76">
        <f t="shared" ref="L33:M33" si="46">K33*(1+$K$17)</f>
        <v>187.875340088359</v>
      </c>
      <c r="M33" s="76">
        <f t="shared" si="46"/>
        <v>191.63284689012619</v>
      </c>
      <c r="N33" s="486">
        <f t="shared" si="38"/>
        <v>563.69969686903323</v>
      </c>
      <c r="O33" s="76">
        <f t="shared" si="39"/>
        <v>197.38183229682997</v>
      </c>
      <c r="P33" s="76">
        <f t="shared" ref="P33:R33" si="47">O33*(1+$O$17)</f>
        <v>203.30328726573487</v>
      </c>
      <c r="Q33" s="76">
        <f t="shared" si="47"/>
        <v>209.40238588370693</v>
      </c>
      <c r="R33" s="486">
        <f t="shared" si="47"/>
        <v>215.68445746021814</v>
      </c>
      <c r="S33" s="490">
        <f t="shared" si="44"/>
        <v>1796.3744545666514</v>
      </c>
      <c r="T33" s="61"/>
    </row>
    <row r="34" spans="1:20" x14ac:dyDescent="0.45">
      <c r="A34" s="61"/>
      <c r="B34" s="92" t="s">
        <v>294</v>
      </c>
      <c r="C34" s="75">
        <v>200</v>
      </c>
      <c r="D34" s="76">
        <f t="shared" si="31"/>
        <v>202</v>
      </c>
      <c r="E34" s="76">
        <f t="shared" si="31"/>
        <v>204.02</v>
      </c>
      <c r="F34" s="486">
        <f t="shared" si="32"/>
        <v>606.02</v>
      </c>
      <c r="G34" s="76">
        <f t="shared" si="33"/>
        <v>210.14060000000001</v>
      </c>
      <c r="H34" s="76">
        <f t="shared" ref="H34:I34" si="48">G34*(1+$G$17)</f>
        <v>216.444818</v>
      </c>
      <c r="I34" s="76">
        <f t="shared" si="48"/>
        <v>222.93816254000001</v>
      </c>
      <c r="J34" s="486">
        <f t="shared" si="35"/>
        <v>649.52358054000001</v>
      </c>
      <c r="K34" s="76">
        <f t="shared" si="36"/>
        <v>227.3969257908</v>
      </c>
      <c r="L34" s="76">
        <f t="shared" ref="L34:M34" si="49">K34*(1+$K$17)</f>
        <v>231.94486430661601</v>
      </c>
      <c r="M34" s="76">
        <f t="shared" si="49"/>
        <v>236.58376159274835</v>
      </c>
      <c r="N34" s="486">
        <f t="shared" si="38"/>
        <v>695.92555169016441</v>
      </c>
      <c r="O34" s="76">
        <f t="shared" si="39"/>
        <v>243.68127444053081</v>
      </c>
      <c r="P34" s="76">
        <f t="shared" ref="P34:R34" si="50">O34*(1+$O$17)</f>
        <v>250.99171267374675</v>
      </c>
      <c r="Q34" s="76">
        <f t="shared" si="50"/>
        <v>258.52146405395916</v>
      </c>
      <c r="R34" s="486">
        <f t="shared" si="50"/>
        <v>266.27710797557796</v>
      </c>
      <c r="S34" s="490">
        <f t="shared" si="44"/>
        <v>2217.7462402057422</v>
      </c>
      <c r="T34" s="61"/>
    </row>
    <row r="35" spans="1:20" x14ac:dyDescent="0.45">
      <c r="A35" s="61"/>
      <c r="B35" s="92" t="s">
        <v>295</v>
      </c>
      <c r="C35" s="75">
        <v>3800</v>
      </c>
      <c r="D35" s="76">
        <f t="shared" si="31"/>
        <v>3838</v>
      </c>
      <c r="E35" s="76">
        <f t="shared" si="31"/>
        <v>3876.38</v>
      </c>
      <c r="F35" s="486">
        <f t="shared" si="32"/>
        <v>11514.380000000001</v>
      </c>
      <c r="G35" s="76">
        <f t="shared" si="33"/>
        <v>3992.6714000000002</v>
      </c>
      <c r="H35" s="76">
        <f t="shared" ref="H35:I35" si="51">G35*(1+$G$17)</f>
        <v>4112.4515420000007</v>
      </c>
      <c r="I35" s="76">
        <f t="shared" si="51"/>
        <v>4235.8250882600005</v>
      </c>
      <c r="J35" s="486">
        <f t="shared" si="35"/>
        <v>12340.948030260002</v>
      </c>
      <c r="K35" s="76">
        <f t="shared" si="36"/>
        <v>4320.541590025201</v>
      </c>
      <c r="L35" s="76">
        <f t="shared" ref="L35:M35" si="52">K35*(1+$K$17)</f>
        <v>4406.9524218257047</v>
      </c>
      <c r="M35" s="76">
        <f t="shared" si="52"/>
        <v>4495.0914702622185</v>
      </c>
      <c r="N35" s="486">
        <f t="shared" si="38"/>
        <v>13222.585482113125</v>
      </c>
      <c r="O35" s="76">
        <f t="shared" si="39"/>
        <v>4629.9442143700853</v>
      </c>
      <c r="P35" s="76">
        <f t="shared" ref="P35:R35" si="53">O35*(1+$O$17)</f>
        <v>4768.8425408011881</v>
      </c>
      <c r="Q35" s="76">
        <f t="shared" si="53"/>
        <v>4911.9078170252242</v>
      </c>
      <c r="R35" s="486">
        <f t="shared" si="53"/>
        <v>5059.265051535981</v>
      </c>
      <c r="S35" s="490">
        <f t="shared" si="44"/>
        <v>42137.178563909103</v>
      </c>
      <c r="T35" s="61"/>
    </row>
    <row r="36" spans="1:20" x14ac:dyDescent="0.45">
      <c r="A36" s="61"/>
      <c r="B36" s="92" t="s">
        <v>296</v>
      </c>
      <c r="C36" s="75">
        <v>300</v>
      </c>
      <c r="D36" s="76">
        <f t="shared" si="31"/>
        <v>303</v>
      </c>
      <c r="E36" s="76">
        <f t="shared" si="31"/>
        <v>306.03000000000003</v>
      </c>
      <c r="F36" s="486">
        <f t="shared" si="32"/>
        <v>909.03</v>
      </c>
      <c r="G36" s="76">
        <f t="shared" si="33"/>
        <v>315.21090000000004</v>
      </c>
      <c r="H36" s="76">
        <f t="shared" ref="H36:I36" si="54">G36*(1+$G$17)</f>
        <v>324.66722700000003</v>
      </c>
      <c r="I36" s="76">
        <f t="shared" si="54"/>
        <v>334.40724381000001</v>
      </c>
      <c r="J36" s="486">
        <f t="shared" si="35"/>
        <v>974.28537081000013</v>
      </c>
      <c r="K36" s="76">
        <f t="shared" si="36"/>
        <v>341.09538868620001</v>
      </c>
      <c r="L36" s="76">
        <f t="shared" ref="L36:M36" si="55">K36*(1+$K$17)</f>
        <v>347.91729645992399</v>
      </c>
      <c r="M36" s="76">
        <f t="shared" si="55"/>
        <v>354.87564238912245</v>
      </c>
      <c r="N36" s="486">
        <f t="shared" si="38"/>
        <v>1043.8883275352464</v>
      </c>
      <c r="O36" s="76">
        <f t="shared" si="39"/>
        <v>365.52191166079615</v>
      </c>
      <c r="P36" s="76">
        <f t="shared" ref="P36:R36" si="56">O36*(1+$O$17)</f>
        <v>376.48756901062006</v>
      </c>
      <c r="Q36" s="76">
        <f t="shared" si="56"/>
        <v>387.78219608093866</v>
      </c>
      <c r="R36" s="486">
        <f t="shared" si="56"/>
        <v>399.41566196336686</v>
      </c>
      <c r="S36" s="490">
        <f t="shared" si="44"/>
        <v>3326.6193603086131</v>
      </c>
      <c r="T36" s="61"/>
    </row>
    <row r="37" spans="1:20" x14ac:dyDescent="0.45">
      <c r="A37" s="61"/>
      <c r="B37" s="92" t="s">
        <v>297</v>
      </c>
      <c r="C37" s="75">
        <v>700</v>
      </c>
      <c r="D37" s="76">
        <f t="shared" si="31"/>
        <v>707</v>
      </c>
      <c r="E37" s="76">
        <f t="shared" si="31"/>
        <v>714.07</v>
      </c>
      <c r="F37" s="486">
        <f t="shared" si="32"/>
        <v>2121.0700000000002</v>
      </c>
      <c r="G37" s="76">
        <f t="shared" si="33"/>
        <v>735.49210000000005</v>
      </c>
      <c r="H37" s="76">
        <f t="shared" ref="H37:I37" si="57">G37*(1+$G$17)</f>
        <v>757.55686300000002</v>
      </c>
      <c r="I37" s="76">
        <f t="shared" si="57"/>
        <v>780.28356889000008</v>
      </c>
      <c r="J37" s="486">
        <f t="shared" si="35"/>
        <v>2273.3325318900002</v>
      </c>
      <c r="K37" s="76">
        <f t="shared" si="36"/>
        <v>795.88924026780012</v>
      </c>
      <c r="L37" s="76">
        <f t="shared" ref="L37:M37" si="58">K37*(1+$K$17)</f>
        <v>811.80702507315618</v>
      </c>
      <c r="M37" s="76">
        <f t="shared" si="58"/>
        <v>828.04316557461937</v>
      </c>
      <c r="N37" s="486">
        <f t="shared" si="38"/>
        <v>2435.7394309155757</v>
      </c>
      <c r="O37" s="76">
        <f t="shared" si="39"/>
        <v>852.88446054185795</v>
      </c>
      <c r="P37" s="76">
        <f t="shared" ref="P37:R37" si="59">O37*(1+$O$17)</f>
        <v>878.47099435811367</v>
      </c>
      <c r="Q37" s="76">
        <f t="shared" si="59"/>
        <v>904.8251241888571</v>
      </c>
      <c r="R37" s="486">
        <f t="shared" si="59"/>
        <v>931.96987791452284</v>
      </c>
      <c r="S37" s="490">
        <f t="shared" si="44"/>
        <v>7762.1118407200984</v>
      </c>
      <c r="T37" s="61"/>
    </row>
    <row r="38" spans="1:20" x14ac:dyDescent="0.45">
      <c r="A38" s="61"/>
      <c r="B38" s="92" t="s">
        <v>298</v>
      </c>
      <c r="C38" s="75">
        <v>2300</v>
      </c>
      <c r="D38" s="76">
        <f t="shared" si="31"/>
        <v>2323</v>
      </c>
      <c r="E38" s="76">
        <f t="shared" si="31"/>
        <v>2346.23</v>
      </c>
      <c r="F38" s="486">
        <f t="shared" si="32"/>
        <v>6969.23</v>
      </c>
      <c r="G38" s="76">
        <f t="shared" si="33"/>
        <v>2416.6169</v>
      </c>
      <c r="H38" s="76">
        <f t="shared" ref="H38:I38" si="60">G38*(1+$G$17)</f>
        <v>2489.1154070000002</v>
      </c>
      <c r="I38" s="76">
        <f t="shared" si="60"/>
        <v>2563.7888692100005</v>
      </c>
      <c r="J38" s="486">
        <f t="shared" si="35"/>
        <v>7469.5211762100007</v>
      </c>
      <c r="K38" s="76">
        <f t="shared" si="36"/>
        <v>2615.0646465942004</v>
      </c>
      <c r="L38" s="76">
        <f t="shared" ref="L38:M38" si="61">K38*(1+$K$17)</f>
        <v>2667.3659395260843</v>
      </c>
      <c r="M38" s="76">
        <f t="shared" si="61"/>
        <v>2720.7132583166058</v>
      </c>
      <c r="N38" s="486">
        <f t="shared" si="38"/>
        <v>8003.1438444368905</v>
      </c>
      <c r="O38" s="76">
        <f t="shared" si="39"/>
        <v>2802.3346560661039</v>
      </c>
      <c r="P38" s="76">
        <f t="shared" ref="P38:R38" si="62">O38*(1+$O$17)</f>
        <v>2886.4046957480873</v>
      </c>
      <c r="Q38" s="76">
        <f t="shared" si="62"/>
        <v>2972.9968366205298</v>
      </c>
      <c r="R38" s="486">
        <f t="shared" si="62"/>
        <v>3062.1867417191456</v>
      </c>
      <c r="S38" s="490">
        <f t="shared" si="44"/>
        <v>25504.081762366037</v>
      </c>
      <c r="T38" s="61"/>
    </row>
    <row r="39" spans="1:20" x14ac:dyDescent="0.45">
      <c r="A39" s="61"/>
      <c r="B39" s="92" t="s">
        <v>299</v>
      </c>
      <c r="C39" s="75">
        <v>21600</v>
      </c>
      <c r="D39" s="76">
        <f t="shared" si="31"/>
        <v>21816</v>
      </c>
      <c r="E39" s="76">
        <f t="shared" si="31"/>
        <v>22034.16</v>
      </c>
      <c r="F39" s="486">
        <f t="shared" si="32"/>
        <v>65450.16</v>
      </c>
      <c r="G39" s="76">
        <f t="shared" si="33"/>
        <v>22695.184799999999</v>
      </c>
      <c r="H39" s="76">
        <f t="shared" ref="H39:I39" si="63">G39*(1+$G$17)</f>
        <v>23376.040344000001</v>
      </c>
      <c r="I39" s="76">
        <f t="shared" si="63"/>
        <v>24077.321554320002</v>
      </c>
      <c r="J39" s="486">
        <f t="shared" si="35"/>
        <v>70148.546698320002</v>
      </c>
      <c r="K39" s="76">
        <f t="shared" si="36"/>
        <v>24558.867985406403</v>
      </c>
      <c r="L39" s="76">
        <f t="shared" ref="L39:M39" si="64">K39*(1+$K$17)</f>
        <v>25050.045345114533</v>
      </c>
      <c r="M39" s="76">
        <f t="shared" si="64"/>
        <v>25551.046252016826</v>
      </c>
      <c r="N39" s="486">
        <f t="shared" si="38"/>
        <v>75159.959582537762</v>
      </c>
      <c r="O39" s="76">
        <f t="shared" si="39"/>
        <v>26317.577639577332</v>
      </c>
      <c r="P39" s="76">
        <f t="shared" ref="P39:R39" si="65">O39*(1+$O$17)</f>
        <v>27107.104968764652</v>
      </c>
      <c r="Q39" s="76">
        <f t="shared" si="65"/>
        <v>27920.318117827592</v>
      </c>
      <c r="R39" s="486">
        <f t="shared" si="65"/>
        <v>28757.927661362421</v>
      </c>
      <c r="S39" s="490">
        <f t="shared" si="44"/>
        <v>239516.59394222018</v>
      </c>
      <c r="T39" s="61"/>
    </row>
    <row r="40" spans="1:20" x14ac:dyDescent="0.45">
      <c r="A40" s="61"/>
      <c r="B40" s="92" t="s">
        <v>300</v>
      </c>
      <c r="C40" s="75">
        <v>1100</v>
      </c>
      <c r="D40" s="76">
        <f t="shared" si="31"/>
        <v>1111</v>
      </c>
      <c r="E40" s="76">
        <f t="shared" si="31"/>
        <v>1122.1099999999999</v>
      </c>
      <c r="F40" s="486">
        <f t="shared" si="32"/>
        <v>3333.1099999999997</v>
      </c>
      <c r="G40" s="76">
        <f t="shared" si="33"/>
        <v>1155.7732999999998</v>
      </c>
      <c r="H40" s="76">
        <f t="shared" ref="H40:I40" si="66">G40*(1+$G$17)</f>
        <v>1190.4464989999999</v>
      </c>
      <c r="I40" s="76">
        <f t="shared" si="66"/>
        <v>1226.15989397</v>
      </c>
      <c r="J40" s="486">
        <f t="shared" si="35"/>
        <v>3572.3796929699993</v>
      </c>
      <c r="K40" s="76">
        <f t="shared" si="36"/>
        <v>1250.6830918493999</v>
      </c>
      <c r="L40" s="76">
        <f t="shared" ref="L40:M40" si="67">K40*(1+$K$17)</f>
        <v>1275.6967536863879</v>
      </c>
      <c r="M40" s="76">
        <f t="shared" si="67"/>
        <v>1301.2106887601155</v>
      </c>
      <c r="N40" s="486">
        <f t="shared" si="38"/>
        <v>3827.5905342959031</v>
      </c>
      <c r="O40" s="76">
        <f t="shared" si="39"/>
        <v>1340.2470094229191</v>
      </c>
      <c r="P40" s="76">
        <f t="shared" ref="P40:R40" si="68">O40*(1+$O$17)</f>
        <v>1380.4544197056066</v>
      </c>
      <c r="Q40" s="76">
        <f t="shared" si="68"/>
        <v>1421.8680522967747</v>
      </c>
      <c r="R40" s="486">
        <f t="shared" si="68"/>
        <v>1464.524093865678</v>
      </c>
      <c r="S40" s="490">
        <f t="shared" si="44"/>
        <v>12197.604321131581</v>
      </c>
      <c r="T40" s="61"/>
    </row>
    <row r="41" spans="1:20" x14ac:dyDescent="0.45">
      <c r="A41" s="61"/>
      <c r="B41" s="92" t="s">
        <v>301</v>
      </c>
      <c r="C41" s="75">
        <v>1300</v>
      </c>
      <c r="D41" s="76">
        <f t="shared" si="31"/>
        <v>1313</v>
      </c>
      <c r="E41" s="76">
        <f t="shared" si="31"/>
        <v>1326.13</v>
      </c>
      <c r="F41" s="486">
        <f t="shared" si="32"/>
        <v>3939.13</v>
      </c>
      <c r="G41" s="76">
        <f t="shared" si="33"/>
        <v>1365.9139000000002</v>
      </c>
      <c r="H41" s="76">
        <f t="shared" ref="H41:I41" si="69">G41*(1+$G$17)</f>
        <v>1406.8913170000003</v>
      </c>
      <c r="I41" s="76">
        <f t="shared" si="69"/>
        <v>1449.0980565100003</v>
      </c>
      <c r="J41" s="486">
        <f t="shared" si="35"/>
        <v>4221.9032735100009</v>
      </c>
      <c r="K41" s="76">
        <f t="shared" si="36"/>
        <v>1478.0800176402004</v>
      </c>
      <c r="L41" s="76">
        <f t="shared" ref="L41:M41" si="70">K41*(1+$K$17)</f>
        <v>1507.6416179930045</v>
      </c>
      <c r="M41" s="76">
        <f t="shared" si="70"/>
        <v>1537.7944503528647</v>
      </c>
      <c r="N41" s="486">
        <f t="shared" si="38"/>
        <v>4523.5160859860698</v>
      </c>
      <c r="O41" s="76">
        <f t="shared" si="39"/>
        <v>1583.9282838634506</v>
      </c>
      <c r="P41" s="76">
        <f t="shared" ref="P41:R41" si="71">O41*(1+$O$17)</f>
        <v>1631.4461323793541</v>
      </c>
      <c r="Q41" s="76">
        <f t="shared" si="71"/>
        <v>1680.3895163507348</v>
      </c>
      <c r="R41" s="486">
        <f t="shared" si="71"/>
        <v>1730.8012018412569</v>
      </c>
      <c r="S41" s="490">
        <f t="shared" si="44"/>
        <v>14415.350561337329</v>
      </c>
      <c r="T41" s="61"/>
    </row>
    <row r="42" spans="1:20" x14ac:dyDescent="0.45">
      <c r="A42" s="61"/>
      <c r="B42" s="92" t="s">
        <v>302</v>
      </c>
      <c r="C42" s="75">
        <v>500</v>
      </c>
      <c r="D42" s="76">
        <f t="shared" si="31"/>
        <v>505</v>
      </c>
      <c r="E42" s="76">
        <f t="shared" si="31"/>
        <v>510.05</v>
      </c>
      <c r="F42" s="486">
        <f t="shared" si="32"/>
        <v>1515.05</v>
      </c>
      <c r="G42" s="76">
        <f t="shared" si="33"/>
        <v>525.35149999999999</v>
      </c>
      <c r="H42" s="76">
        <f t="shared" ref="H42:I42" si="72">G42*(1+$G$17)</f>
        <v>541.11204499999997</v>
      </c>
      <c r="I42" s="76">
        <f t="shared" si="72"/>
        <v>557.34540634999996</v>
      </c>
      <c r="J42" s="486">
        <f t="shared" si="35"/>
        <v>1623.8089513499999</v>
      </c>
      <c r="K42" s="76">
        <f t="shared" si="36"/>
        <v>568.49231447699992</v>
      </c>
      <c r="L42" s="76">
        <f t="shared" ref="L42:M42" si="73">K42*(1+$K$17)</f>
        <v>579.86216076653989</v>
      </c>
      <c r="M42" s="76">
        <f t="shared" si="73"/>
        <v>591.45940398187065</v>
      </c>
      <c r="N42" s="486">
        <f t="shared" si="38"/>
        <v>1739.8138792254103</v>
      </c>
      <c r="O42" s="76">
        <f t="shared" si="39"/>
        <v>609.20318610132676</v>
      </c>
      <c r="P42" s="76">
        <f t="shared" ref="P42:R42" si="74">O42*(1+$O$17)</f>
        <v>627.47928168436658</v>
      </c>
      <c r="Q42" s="76">
        <f t="shared" si="74"/>
        <v>646.30366013489754</v>
      </c>
      <c r="R42" s="486">
        <f t="shared" si="74"/>
        <v>665.69276993894448</v>
      </c>
      <c r="S42" s="490">
        <f t="shared" si="44"/>
        <v>5544.3656005143548</v>
      </c>
      <c r="T42" s="61"/>
    </row>
    <row r="43" spans="1:20" x14ac:dyDescent="0.45">
      <c r="A43" s="61"/>
      <c r="B43" s="92" t="s">
        <v>303</v>
      </c>
      <c r="C43" s="75">
        <v>900</v>
      </c>
      <c r="D43" s="76">
        <f t="shared" si="31"/>
        <v>909</v>
      </c>
      <c r="E43" s="76">
        <f t="shared" si="31"/>
        <v>918.09</v>
      </c>
      <c r="F43" s="486">
        <f t="shared" si="32"/>
        <v>2727.09</v>
      </c>
      <c r="G43" s="76">
        <f t="shared" si="33"/>
        <v>945.63270000000011</v>
      </c>
      <c r="H43" s="76">
        <f t="shared" ref="H43:I43" si="75">G43*(1+$G$17)</f>
        <v>974.00168100000019</v>
      </c>
      <c r="I43" s="76">
        <f t="shared" si="75"/>
        <v>1003.2217314300002</v>
      </c>
      <c r="J43" s="486">
        <f t="shared" si="35"/>
        <v>2922.8561124300004</v>
      </c>
      <c r="K43" s="76">
        <f t="shared" si="36"/>
        <v>1023.2861660586002</v>
      </c>
      <c r="L43" s="76">
        <f t="shared" ref="L43:M43" si="76">K43*(1+$K$17)</f>
        <v>1043.7518893797721</v>
      </c>
      <c r="M43" s="76">
        <f t="shared" si="76"/>
        <v>1064.6269271673675</v>
      </c>
      <c r="N43" s="486">
        <f t="shared" si="38"/>
        <v>3131.6649826057401</v>
      </c>
      <c r="O43" s="76">
        <f t="shared" si="39"/>
        <v>1096.5657349823887</v>
      </c>
      <c r="P43" s="76">
        <f t="shared" ref="P43:R43" si="77">O43*(1+$O$17)</f>
        <v>1129.4627070318604</v>
      </c>
      <c r="Q43" s="76">
        <f t="shared" si="77"/>
        <v>1163.3465882428163</v>
      </c>
      <c r="R43" s="486">
        <f t="shared" si="77"/>
        <v>1198.2469858901009</v>
      </c>
      <c r="S43" s="490">
        <f t="shared" si="44"/>
        <v>9979.8580809258401</v>
      </c>
      <c r="T43" s="61"/>
    </row>
    <row r="44" spans="1:20" x14ac:dyDescent="0.45">
      <c r="A44" s="61"/>
      <c r="B44" s="92" t="s">
        <v>304</v>
      </c>
      <c r="C44" s="75">
        <v>300</v>
      </c>
      <c r="D44" s="76">
        <f t="shared" si="31"/>
        <v>303</v>
      </c>
      <c r="E44" s="76">
        <f t="shared" si="31"/>
        <v>306.03000000000003</v>
      </c>
      <c r="F44" s="486">
        <f t="shared" si="32"/>
        <v>909.03</v>
      </c>
      <c r="G44" s="76">
        <f t="shared" si="33"/>
        <v>315.21090000000004</v>
      </c>
      <c r="H44" s="76">
        <f t="shared" ref="H44:I44" si="78">G44*(1+$G$17)</f>
        <v>324.66722700000003</v>
      </c>
      <c r="I44" s="76">
        <f t="shared" si="78"/>
        <v>334.40724381000001</v>
      </c>
      <c r="J44" s="486">
        <f t="shared" si="35"/>
        <v>974.28537081000013</v>
      </c>
      <c r="K44" s="76">
        <f t="shared" si="36"/>
        <v>341.09538868620001</v>
      </c>
      <c r="L44" s="76">
        <f t="shared" ref="L44:M44" si="79">K44*(1+$K$17)</f>
        <v>347.91729645992399</v>
      </c>
      <c r="M44" s="76">
        <f t="shared" si="79"/>
        <v>354.87564238912245</v>
      </c>
      <c r="N44" s="486">
        <f t="shared" si="38"/>
        <v>1043.8883275352464</v>
      </c>
      <c r="O44" s="76">
        <f t="shared" si="39"/>
        <v>365.52191166079615</v>
      </c>
      <c r="P44" s="76">
        <f t="shared" ref="P44:R44" si="80">O44*(1+$O$17)</f>
        <v>376.48756901062006</v>
      </c>
      <c r="Q44" s="76">
        <f t="shared" si="80"/>
        <v>387.78219608093866</v>
      </c>
      <c r="R44" s="486">
        <f t="shared" si="80"/>
        <v>399.41566196336686</v>
      </c>
      <c r="S44" s="490">
        <f t="shared" si="44"/>
        <v>3326.6193603086131</v>
      </c>
      <c r="T44" s="61"/>
    </row>
    <row r="45" spans="1:20" ht="16.5" thickBot="1" x14ac:dyDescent="0.5">
      <c r="A45" s="61"/>
      <c r="B45" s="93" t="s">
        <v>305</v>
      </c>
      <c r="C45" s="94">
        <v>165</v>
      </c>
      <c r="D45" s="76">
        <f t="shared" si="31"/>
        <v>166.65</v>
      </c>
      <c r="E45" s="76">
        <f t="shared" si="31"/>
        <v>168.31650000000002</v>
      </c>
      <c r="F45" s="486">
        <f t="shared" si="32"/>
        <v>499.9665</v>
      </c>
      <c r="G45" s="76">
        <f t="shared" si="33"/>
        <v>173.36599500000003</v>
      </c>
      <c r="H45" s="76">
        <f t="shared" ref="H45:I45" si="81">G45*(1+$G$17)</f>
        <v>178.56697485000004</v>
      </c>
      <c r="I45" s="76">
        <f t="shared" si="81"/>
        <v>183.92398409550003</v>
      </c>
      <c r="J45" s="486">
        <f t="shared" si="35"/>
        <v>535.85695394550009</v>
      </c>
      <c r="K45" s="76">
        <f t="shared" si="36"/>
        <v>187.60246377741004</v>
      </c>
      <c r="L45" s="76">
        <f t="shared" ref="L45:M45" si="82">K45*(1+$K$17)</f>
        <v>191.35451305295825</v>
      </c>
      <c r="M45" s="76">
        <f t="shared" si="82"/>
        <v>195.18160331401742</v>
      </c>
      <c r="N45" s="486">
        <f t="shared" si="38"/>
        <v>574.13858014438574</v>
      </c>
      <c r="O45" s="76">
        <f t="shared" si="39"/>
        <v>201.03705141343795</v>
      </c>
      <c r="P45" s="76">
        <f t="shared" ref="P45:R45" si="83">O45*(1+$O$17)</f>
        <v>207.0681629558411</v>
      </c>
      <c r="Q45" s="76">
        <f t="shared" si="83"/>
        <v>213.28020784451635</v>
      </c>
      <c r="R45" s="486">
        <f t="shared" si="83"/>
        <v>219.67861407985185</v>
      </c>
      <c r="S45" s="490">
        <f t="shared" si="44"/>
        <v>1829.6406481697377</v>
      </c>
      <c r="T45" s="61"/>
    </row>
    <row r="46" spans="1:20" x14ac:dyDescent="0.45">
      <c r="A46" s="61"/>
      <c r="B46" s="95" t="s">
        <v>306</v>
      </c>
      <c r="C46" s="90">
        <f>SUM(C30:C45)</f>
        <v>52102</v>
      </c>
      <c r="D46" s="90">
        <f t="shared" ref="D46:R46" si="84">SUM(D30:D45)</f>
        <v>52623.02</v>
      </c>
      <c r="E46" s="90">
        <f t="shared" si="84"/>
        <v>53149.250200000002</v>
      </c>
      <c r="F46" s="491">
        <f t="shared" si="84"/>
        <v>157874.2702</v>
      </c>
      <c r="G46" s="90">
        <f t="shared" si="84"/>
        <v>54743.727705999998</v>
      </c>
      <c r="H46" s="90">
        <f t="shared" si="84"/>
        <v>56386.039537180011</v>
      </c>
      <c r="I46" s="90">
        <f t="shared" si="84"/>
        <v>58077.620723295411</v>
      </c>
      <c r="J46" s="491">
        <f t="shared" si="84"/>
        <v>169207.38796647536</v>
      </c>
      <c r="K46" s="90">
        <f t="shared" si="84"/>
        <v>59239.17313776131</v>
      </c>
      <c r="L46" s="90">
        <f t="shared" si="84"/>
        <v>60423.956600516554</v>
      </c>
      <c r="M46" s="90">
        <f t="shared" si="84"/>
        <v>61632.435732526879</v>
      </c>
      <c r="N46" s="491">
        <f t="shared" si="84"/>
        <v>181295.56547080475</v>
      </c>
      <c r="O46" s="90">
        <f t="shared" si="84"/>
        <v>63481.408804502695</v>
      </c>
      <c r="P46" s="90">
        <f t="shared" si="84"/>
        <v>65385.851068637763</v>
      </c>
      <c r="Q46" s="90">
        <f t="shared" si="84"/>
        <v>67347.426600696883</v>
      </c>
      <c r="R46" s="491">
        <f t="shared" si="84"/>
        <v>114164.24497244242</v>
      </c>
      <c r="S46" s="490">
        <f>SUM(S30:S45)</f>
        <v>622541.46860972268</v>
      </c>
      <c r="T46" s="61"/>
    </row>
    <row r="47" spans="1:20" ht="4" customHeight="1" x14ac:dyDescent="0.45">
      <c r="A47" s="61"/>
      <c r="B47" s="96"/>
      <c r="C47" s="97"/>
      <c r="D47" s="97"/>
      <c r="E47" s="97"/>
      <c r="F47" s="98"/>
      <c r="G47" s="97"/>
      <c r="H47" s="97"/>
      <c r="I47" s="97"/>
      <c r="J47" s="98"/>
      <c r="K47" s="97"/>
      <c r="L47" s="97"/>
      <c r="M47" s="97"/>
      <c r="N47" s="98"/>
      <c r="O47" s="97"/>
      <c r="P47" s="97"/>
      <c r="Q47" s="97"/>
      <c r="R47" s="98"/>
      <c r="S47" s="99"/>
      <c r="T47" s="61"/>
    </row>
    <row r="48" spans="1:20" ht="16.5" thickBot="1" x14ac:dyDescent="0.5">
      <c r="A48" s="61"/>
      <c r="B48" s="100" t="s">
        <v>307</v>
      </c>
      <c r="C48" s="101">
        <f>C27-C46</f>
        <v>33298</v>
      </c>
      <c r="D48" s="101">
        <f t="shared" ref="D48:R48" si="85">D27-D46</f>
        <v>33630.980000000003</v>
      </c>
      <c r="E48" s="101">
        <f t="shared" si="85"/>
        <v>33967.28980000002</v>
      </c>
      <c r="F48" s="101">
        <f t="shared" si="85"/>
        <v>100896.26980000001</v>
      </c>
      <c r="G48" s="101">
        <f t="shared" si="85"/>
        <v>34986.308494000019</v>
      </c>
      <c r="H48" s="101">
        <f t="shared" si="85"/>
        <v>36035.897748820018</v>
      </c>
      <c r="I48" s="101">
        <f t="shared" si="85"/>
        <v>37116.974681284621</v>
      </c>
      <c r="J48" s="101">
        <f t="shared" si="85"/>
        <v>108139.18092410473</v>
      </c>
      <c r="K48" s="101">
        <f t="shared" si="85"/>
        <v>37859.314174910345</v>
      </c>
      <c r="L48" s="101">
        <f t="shared" si="85"/>
        <v>38616.50045840854</v>
      </c>
      <c r="M48" s="101">
        <f t="shared" si="85"/>
        <v>39388.830467576685</v>
      </c>
      <c r="N48" s="101">
        <f t="shared" si="85"/>
        <v>115864.64510089561</v>
      </c>
      <c r="O48" s="101">
        <f t="shared" si="85"/>
        <v>40570.495381604</v>
      </c>
      <c r="P48" s="101">
        <f t="shared" si="85"/>
        <v>41787.610243052164</v>
      </c>
      <c r="Q48" s="101">
        <f t="shared" si="85"/>
        <v>43041.238550343711</v>
      </c>
      <c r="R48" s="101">
        <f t="shared" si="85"/>
        <v>211832.0417651287</v>
      </c>
      <c r="S48" s="101">
        <f>S27-S46</f>
        <v>536732.13759012858</v>
      </c>
      <c r="T48" s="61"/>
    </row>
    <row r="49" spans="1:19" ht="16.5" thickTop="1" x14ac:dyDescent="0.45">
      <c r="A49" s="61"/>
      <c r="B49" s="61"/>
      <c r="C49" s="61"/>
      <c r="D49" s="61"/>
      <c r="E49" s="61"/>
      <c r="F49" s="61"/>
      <c r="G49" s="61"/>
      <c r="H49" s="61"/>
      <c r="I49" s="61"/>
      <c r="J49" s="61"/>
      <c r="K49" s="61"/>
      <c r="L49" s="61"/>
      <c r="M49" s="61"/>
      <c r="N49" s="61"/>
      <c r="O49" s="61"/>
      <c r="P49" s="61"/>
      <c r="Q49" s="61"/>
      <c r="R49" s="61"/>
      <c r="S49" s="61"/>
    </row>
    <row r="50" spans="1:19" x14ac:dyDescent="0.45">
      <c r="A50" s="61"/>
      <c r="B50" s="61"/>
      <c r="C50" s="61"/>
      <c r="D50" s="61"/>
      <c r="E50" s="61"/>
      <c r="F50" s="61"/>
      <c r="G50" s="61"/>
      <c r="H50" s="61"/>
      <c r="I50" s="61"/>
      <c r="J50" s="61"/>
      <c r="K50" s="61"/>
      <c r="L50" s="61"/>
      <c r="M50" s="61"/>
      <c r="N50" s="61"/>
      <c r="O50" s="61"/>
      <c r="P50" s="61"/>
      <c r="Q50" s="61"/>
      <c r="R50" s="61"/>
      <c r="S50" s="61"/>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85712-703C-4DBE-9F0A-0F2EDE07847A}">
  <sheetPr codeName="Sheet35">
    <tabColor rgb="FFC00000"/>
  </sheetPr>
  <dimension ref="A1:M89"/>
  <sheetViews>
    <sheetView showGridLines="0" topLeftCell="C65" zoomScale="80" zoomScaleNormal="80" workbookViewId="0">
      <selection activeCell="L71" sqref="L71"/>
    </sheetView>
  </sheetViews>
  <sheetFormatPr defaultColWidth="9.1796875" defaultRowHeight="13" x14ac:dyDescent="0.3"/>
  <cols>
    <col min="1" max="2" width="2.453125" style="356" customWidth="1"/>
    <col min="3" max="3" width="25.7265625" style="356" customWidth="1"/>
    <col min="4" max="5" width="20.54296875" style="356" customWidth="1"/>
    <col min="6" max="6" width="15.81640625" style="356" customWidth="1"/>
    <col min="7" max="7" width="20.54296875" style="356" customWidth="1"/>
    <col min="8" max="8" width="22.6328125" style="356" customWidth="1"/>
    <col min="9" max="10" width="20.54296875" style="356" customWidth="1"/>
    <col min="11" max="11" width="2.453125" style="356" customWidth="1"/>
    <col min="12" max="12" width="12.81640625" style="356" customWidth="1"/>
    <col min="13" max="13" width="26.81640625" style="356" customWidth="1"/>
    <col min="14" max="16384" width="9.1796875" style="356"/>
  </cols>
  <sheetData>
    <row r="1" spans="1:13" ht="16" x14ac:dyDescent="0.45">
      <c r="A1" s="25"/>
      <c r="B1" s="25"/>
      <c r="C1" s="25"/>
    </row>
    <row r="2" spans="1:13" ht="16" x14ac:dyDescent="0.45">
      <c r="A2" s="25"/>
      <c r="B2" s="126"/>
      <c r="C2" s="126"/>
      <c r="D2" s="126"/>
      <c r="E2" s="126"/>
      <c r="F2" s="126"/>
      <c r="G2" s="126"/>
      <c r="H2" s="126"/>
      <c r="I2" s="126"/>
      <c r="J2" s="126"/>
      <c r="K2" s="126"/>
      <c r="L2" s="126"/>
      <c r="M2" s="126"/>
    </row>
    <row r="3" spans="1:13" ht="16" x14ac:dyDescent="0.45">
      <c r="A3" s="25"/>
      <c r="B3" s="127" t="s">
        <v>326</v>
      </c>
      <c r="C3" s="128"/>
      <c r="D3" s="128"/>
      <c r="E3" s="128"/>
      <c r="F3" s="128"/>
      <c r="G3" s="128"/>
      <c r="H3" s="128"/>
      <c r="I3" s="128"/>
      <c r="J3" s="128"/>
      <c r="K3" s="128"/>
      <c r="L3" s="128"/>
      <c r="M3" s="128"/>
    </row>
    <row r="4" spans="1:13" ht="16" x14ac:dyDescent="0.45">
      <c r="A4" s="25"/>
      <c r="B4" s="128" t="s">
        <v>364</v>
      </c>
      <c r="C4" s="126"/>
      <c r="D4" s="126"/>
      <c r="E4" s="126"/>
      <c r="F4" s="126"/>
      <c r="G4" s="126"/>
      <c r="H4" s="126"/>
      <c r="I4" s="126"/>
      <c r="J4" s="126"/>
      <c r="K4" s="126"/>
      <c r="L4" s="126"/>
      <c r="M4" s="126"/>
    </row>
    <row r="7" spans="1:13" ht="16" x14ac:dyDescent="0.45">
      <c r="A7" s="25" t="s">
        <v>14</v>
      </c>
      <c r="B7" s="128" t="s">
        <v>2483</v>
      </c>
      <c r="C7" s="145"/>
      <c r="D7" s="145"/>
      <c r="E7" s="145"/>
      <c r="F7" s="145"/>
      <c r="G7" s="145"/>
      <c r="H7" s="145"/>
      <c r="I7" s="145"/>
      <c r="J7" s="145"/>
      <c r="K7" s="145"/>
    </row>
    <row r="9" spans="1:13" ht="14.5" x14ac:dyDescent="0.35">
      <c r="B9" t="s">
        <v>2484</v>
      </c>
    </row>
    <row r="12" spans="1:13" ht="15" x14ac:dyDescent="0.4">
      <c r="C12" s="499" t="s">
        <v>2485</v>
      </c>
      <c r="D12" s="500"/>
      <c r="E12" s="500"/>
      <c r="F12" s="357"/>
      <c r="G12" s="499" t="s">
        <v>2486</v>
      </c>
      <c r="H12" s="500"/>
      <c r="I12"/>
      <c r="J12" s="358" t="s">
        <v>16</v>
      </c>
      <c r="K12" s="359"/>
      <c r="L12" s="359"/>
      <c r="M12" s="359"/>
    </row>
    <row r="13" spans="1:13" ht="15" x14ac:dyDescent="0.4">
      <c r="C13" s="360"/>
      <c r="D13" s="360"/>
      <c r="E13" s="357"/>
      <c r="F13" s="357"/>
      <c r="G13" s="360"/>
      <c r="H13" s="360"/>
      <c r="I13" s="360"/>
      <c r="J13"/>
      <c r="K13"/>
      <c r="L13"/>
      <c r="M13"/>
    </row>
    <row r="14" spans="1:13" ht="15.5" thickBot="1" x14ac:dyDescent="0.45">
      <c r="C14" s="361" t="s">
        <v>2487</v>
      </c>
      <c r="D14" s="361" t="s">
        <v>2488</v>
      </c>
      <c r="E14" s="361" t="s">
        <v>2489</v>
      </c>
      <c r="F14" s="360"/>
      <c r="G14" s="362" t="s">
        <v>2490</v>
      </c>
      <c r="H14" s="363" t="s">
        <v>2489</v>
      </c>
      <c r="I14" s="364"/>
      <c r="J14" t="s">
        <v>2491</v>
      </c>
      <c r="K14"/>
      <c r="L14"/>
      <c r="M14"/>
    </row>
    <row r="15" spans="1:13" ht="15" x14ac:dyDescent="0.4">
      <c r="C15" s="365" t="s">
        <v>2492</v>
      </c>
      <c r="D15" s="366">
        <v>15</v>
      </c>
      <c r="E15" s="367" t="str">
        <f>IF(D15&lt;=39,"F",IF(D15&lt;=49,"E",IF(D15&lt;=59,"D",IF(D15&lt;=69,"C",IF(D15&lt;=79,"B",IF(D15&lt;=100,"A"))))))</f>
        <v>F</v>
      </c>
      <c r="F15" s="360"/>
      <c r="G15" s="368" t="s">
        <v>2493</v>
      </c>
      <c r="H15" s="369" t="s">
        <v>2494</v>
      </c>
      <c r="I15" s="370"/>
      <c r="J15"/>
      <c r="K15"/>
      <c r="L15"/>
      <c r="M15"/>
    </row>
    <row r="16" spans="1:13" ht="15" x14ac:dyDescent="0.4">
      <c r="C16" s="365" t="s">
        <v>2495</v>
      </c>
      <c r="D16" s="366">
        <v>84</v>
      </c>
      <c r="E16" s="367" t="str">
        <f t="shared" ref="E16:E34" si="0">IF(D16&lt;=39,"F",IF(D16&lt;=49,"E",IF(D16&lt;=59,"D",IF(D16&lt;=69,"C",IF(D16&lt;=79,"B",IF(D16&lt;=100,"A"))))))</f>
        <v>A</v>
      </c>
      <c r="F16" s="360"/>
      <c r="G16" s="371" t="s">
        <v>2496</v>
      </c>
      <c r="H16" s="372" t="s">
        <v>2497</v>
      </c>
      <c r="I16" s="370"/>
      <c r="J16" t="s">
        <v>2498</v>
      </c>
      <c r="K16"/>
      <c r="L16"/>
      <c r="M16"/>
    </row>
    <row r="17" spans="3:13" ht="15" x14ac:dyDescent="0.4">
      <c r="C17" s="365" t="s">
        <v>2499</v>
      </c>
      <c r="D17" s="366">
        <v>24</v>
      </c>
      <c r="E17" s="367" t="str">
        <f t="shared" si="0"/>
        <v>F</v>
      </c>
      <c r="F17" s="360"/>
      <c r="G17" s="373" t="s">
        <v>2500</v>
      </c>
      <c r="H17" s="372" t="s">
        <v>2501</v>
      </c>
      <c r="I17" s="370"/>
      <c r="J17"/>
      <c r="K17"/>
      <c r="L17"/>
      <c r="M17"/>
    </row>
    <row r="18" spans="3:13" ht="15" x14ac:dyDescent="0.4">
      <c r="C18" s="365" t="s">
        <v>2502</v>
      </c>
      <c r="D18" s="366">
        <v>15</v>
      </c>
      <c r="E18" s="367" t="str">
        <f t="shared" si="0"/>
        <v>F</v>
      </c>
      <c r="F18" s="360"/>
      <c r="G18" s="373" t="s">
        <v>2503</v>
      </c>
      <c r="H18" s="372" t="s">
        <v>2504</v>
      </c>
      <c r="I18" s="370"/>
      <c r="J18"/>
      <c r="K18"/>
      <c r="L18"/>
      <c r="M18"/>
    </row>
    <row r="19" spans="3:13" ht="15" x14ac:dyDescent="0.4">
      <c r="C19" s="365" t="s">
        <v>2505</v>
      </c>
      <c r="D19" s="366">
        <v>74</v>
      </c>
      <c r="E19" s="367" t="str">
        <f t="shared" si="0"/>
        <v>B</v>
      </c>
      <c r="F19" s="360"/>
      <c r="G19" s="373" t="s">
        <v>2506</v>
      </c>
      <c r="H19" s="372" t="s">
        <v>2507</v>
      </c>
      <c r="I19" s="370"/>
      <c r="J19"/>
      <c r="K19"/>
      <c r="L19"/>
      <c r="M19"/>
    </row>
    <row r="20" spans="3:13" ht="15" x14ac:dyDescent="0.4">
      <c r="C20" s="365" t="s">
        <v>2508</v>
      </c>
      <c r="D20" s="366">
        <v>46</v>
      </c>
      <c r="E20" s="367" t="str">
        <f t="shared" si="0"/>
        <v>E</v>
      </c>
      <c r="F20" s="360"/>
      <c r="G20" s="374" t="s">
        <v>2509</v>
      </c>
      <c r="H20" s="375" t="s">
        <v>2510</v>
      </c>
      <c r="I20" s="370"/>
      <c r="J20"/>
      <c r="K20"/>
      <c r="L20"/>
      <c r="M20"/>
    </row>
    <row r="21" spans="3:13" ht="15" x14ac:dyDescent="0.4">
      <c r="C21" s="365" t="s">
        <v>2511</v>
      </c>
      <c r="D21" s="366">
        <v>67</v>
      </c>
      <c r="E21" s="367" t="str">
        <f t="shared" si="0"/>
        <v>C</v>
      </c>
      <c r="F21" s="360"/>
      <c r="G21"/>
      <c r="H21"/>
      <c r="I21" s="370"/>
      <c r="J21"/>
      <c r="K21"/>
      <c r="L21"/>
      <c r="M21"/>
    </row>
    <row r="22" spans="3:13" ht="15" x14ac:dyDescent="0.4">
      <c r="C22" s="365" t="s">
        <v>2512</v>
      </c>
      <c r="D22" s="366">
        <v>87</v>
      </c>
      <c r="E22" s="367" t="str">
        <f t="shared" si="0"/>
        <v>A</v>
      </c>
      <c r="F22" s="360"/>
      <c r="G22"/>
      <c r="H22"/>
      <c r="I22" s="370"/>
      <c r="J22"/>
      <c r="K22"/>
      <c r="L22"/>
      <c r="M22"/>
    </row>
    <row r="23" spans="3:13" ht="15" x14ac:dyDescent="0.4">
      <c r="C23" s="365" t="s">
        <v>2513</v>
      </c>
      <c r="D23" s="366">
        <v>92</v>
      </c>
      <c r="E23" s="367" t="str">
        <f t="shared" si="0"/>
        <v>A</v>
      </c>
      <c r="F23" s="360"/>
      <c r="G23"/>
      <c r="H23"/>
      <c r="I23" s="370"/>
      <c r="J23"/>
      <c r="K23"/>
      <c r="L23"/>
      <c r="M23"/>
    </row>
    <row r="24" spans="3:13" ht="15" x14ac:dyDescent="0.4">
      <c r="C24" s="365" t="s">
        <v>2514</v>
      </c>
      <c r="D24" s="366">
        <v>28</v>
      </c>
      <c r="E24" s="367" t="str">
        <f t="shared" si="0"/>
        <v>F</v>
      </c>
      <c r="F24" s="360"/>
      <c r="G24" s="360"/>
      <c r="H24" s="360"/>
      <c r="I24" s="360"/>
      <c r="J24"/>
      <c r="K24"/>
      <c r="L24"/>
      <c r="M24"/>
    </row>
    <row r="25" spans="3:13" ht="15" x14ac:dyDescent="0.4">
      <c r="C25" s="365" t="s">
        <v>2515</v>
      </c>
      <c r="D25" s="366">
        <v>36</v>
      </c>
      <c r="E25" s="367" t="str">
        <f t="shared" si="0"/>
        <v>F</v>
      </c>
      <c r="F25" s="360"/>
      <c r="G25" s="360"/>
      <c r="H25" s="360"/>
      <c r="I25" s="360"/>
      <c r="J25"/>
      <c r="K25"/>
      <c r="L25"/>
      <c r="M25"/>
    </row>
    <row r="26" spans="3:13" ht="15" x14ac:dyDescent="0.4">
      <c r="C26" s="365" t="s">
        <v>2516</v>
      </c>
      <c r="D26" s="366">
        <v>91</v>
      </c>
      <c r="E26" s="367" t="str">
        <f t="shared" si="0"/>
        <v>A</v>
      </c>
      <c r="F26" s="360"/>
      <c r="G26" s="360"/>
      <c r="H26" s="360"/>
      <c r="I26" s="360"/>
      <c r="J26"/>
      <c r="K26"/>
      <c r="L26"/>
      <c r="M26"/>
    </row>
    <row r="27" spans="3:13" ht="15" x14ac:dyDescent="0.4">
      <c r="C27" s="365" t="s">
        <v>2517</v>
      </c>
      <c r="D27" s="366">
        <v>87</v>
      </c>
      <c r="E27" s="367" t="str">
        <f t="shared" si="0"/>
        <v>A</v>
      </c>
      <c r="F27" s="360"/>
      <c r="G27" s="360"/>
      <c r="H27" s="360"/>
      <c r="I27" s="360"/>
      <c r="J27"/>
      <c r="K27"/>
      <c r="L27"/>
      <c r="M27"/>
    </row>
    <row r="28" spans="3:13" ht="15" x14ac:dyDescent="0.4">
      <c r="C28" s="365" t="s">
        <v>2518</v>
      </c>
      <c r="D28" s="366">
        <v>26</v>
      </c>
      <c r="E28" s="367" t="str">
        <f t="shared" si="0"/>
        <v>F</v>
      </c>
      <c r="F28" s="360"/>
      <c r="G28" s="360"/>
      <c r="H28" s="360"/>
      <c r="I28" s="360"/>
      <c r="J28"/>
      <c r="K28"/>
      <c r="L28"/>
      <c r="M28"/>
    </row>
    <row r="29" spans="3:13" ht="15" x14ac:dyDescent="0.4">
      <c r="C29" s="365" t="s">
        <v>2519</v>
      </c>
      <c r="D29" s="366">
        <v>33</v>
      </c>
      <c r="E29" s="367" t="str">
        <f t="shared" si="0"/>
        <v>F</v>
      </c>
      <c r="F29" s="360"/>
      <c r="G29" s="360"/>
      <c r="H29" s="360"/>
      <c r="I29" s="360"/>
      <c r="J29"/>
      <c r="K29"/>
      <c r="L29"/>
      <c r="M29"/>
    </row>
    <row r="30" spans="3:13" ht="15" x14ac:dyDescent="0.4">
      <c r="C30" s="365" t="s">
        <v>2520</v>
      </c>
      <c r="D30" s="366">
        <v>28</v>
      </c>
      <c r="E30" s="367" t="str">
        <f t="shared" si="0"/>
        <v>F</v>
      </c>
      <c r="F30" s="360"/>
      <c r="G30" s="360"/>
      <c r="H30" s="360"/>
      <c r="I30" s="360"/>
      <c r="J30"/>
      <c r="K30"/>
      <c r="L30"/>
      <c r="M30"/>
    </row>
    <row r="31" spans="3:13" ht="15" x14ac:dyDescent="0.4">
      <c r="C31" s="365" t="s">
        <v>2521</v>
      </c>
      <c r="D31" s="366">
        <v>31</v>
      </c>
      <c r="E31" s="367" t="str">
        <f t="shared" si="0"/>
        <v>F</v>
      </c>
      <c r="F31" s="360"/>
      <c r="G31" s="360"/>
      <c r="H31" s="360"/>
      <c r="I31" s="360"/>
      <c r="J31"/>
      <c r="K31"/>
      <c r="L31"/>
      <c r="M31"/>
    </row>
    <row r="32" spans="3:13" ht="15" x14ac:dyDescent="0.4">
      <c r="C32" s="365" t="s">
        <v>2522</v>
      </c>
      <c r="D32" s="366">
        <v>79</v>
      </c>
      <c r="E32" s="367" t="str">
        <f t="shared" si="0"/>
        <v>B</v>
      </c>
      <c r="F32" s="360"/>
      <c r="G32" s="360"/>
      <c r="H32" s="360"/>
      <c r="I32" s="360"/>
      <c r="J32"/>
      <c r="K32"/>
      <c r="L32"/>
      <c r="M32"/>
    </row>
    <row r="33" spans="1:13" ht="15" x14ac:dyDescent="0.4">
      <c r="C33" s="365" t="s">
        <v>2523</v>
      </c>
      <c r="D33" s="366">
        <v>95</v>
      </c>
      <c r="E33" s="367" t="str">
        <f t="shared" si="0"/>
        <v>A</v>
      </c>
      <c r="F33" s="360"/>
      <c r="G33" s="360"/>
      <c r="H33" s="360"/>
      <c r="I33" s="360"/>
      <c r="J33"/>
      <c r="K33"/>
      <c r="L33"/>
      <c r="M33"/>
    </row>
    <row r="34" spans="1:13" ht="15" x14ac:dyDescent="0.4">
      <c r="C34" s="365" t="s">
        <v>2524</v>
      </c>
      <c r="D34" s="366">
        <v>41</v>
      </c>
      <c r="E34" s="367" t="str">
        <f t="shared" si="0"/>
        <v>E</v>
      </c>
      <c r="F34" s="360"/>
      <c r="G34" s="360"/>
      <c r="H34" s="360"/>
      <c r="I34" s="360"/>
      <c r="J34"/>
      <c r="K34"/>
      <c r="L34"/>
      <c r="M34"/>
    </row>
    <row r="35" spans="1:13" ht="14.5" x14ac:dyDescent="0.35">
      <c r="C35"/>
      <c r="D35"/>
      <c r="E35"/>
      <c r="F35"/>
      <c r="G35"/>
      <c r="H35"/>
      <c r="I35"/>
      <c r="J35"/>
      <c r="K35"/>
      <c r="L35"/>
      <c r="M35"/>
    </row>
    <row r="36" spans="1:13" ht="14.5" x14ac:dyDescent="0.35">
      <c r="B36"/>
      <c r="C36"/>
      <c r="D36"/>
      <c r="E36"/>
      <c r="F36"/>
      <c r="G36"/>
      <c r="H36"/>
      <c r="I36"/>
      <c r="J36"/>
      <c r="K36"/>
      <c r="L36"/>
      <c r="M36"/>
    </row>
    <row r="37" spans="1:13" ht="16" x14ac:dyDescent="0.45">
      <c r="A37" s="25" t="s">
        <v>14</v>
      </c>
      <c r="B37" s="128" t="s">
        <v>2526</v>
      </c>
      <c r="C37" s="145"/>
      <c r="D37" s="145"/>
      <c r="E37" s="145"/>
      <c r="F37" s="145"/>
      <c r="G37" s="145"/>
      <c r="H37" s="145"/>
      <c r="I37" s="145"/>
      <c r="J37" s="145"/>
      <c r="K37" s="145"/>
      <c r="L37" s="25"/>
      <c r="M37"/>
    </row>
    <row r="38" spans="1:13" ht="16" x14ac:dyDescent="0.45">
      <c r="A38" s="25"/>
      <c r="B38" s="25"/>
      <c r="C38" s="25"/>
      <c r="D38" s="25"/>
      <c r="E38" s="25"/>
      <c r="F38" s="25"/>
      <c r="G38" s="25"/>
      <c r="H38" s="25"/>
      <c r="I38" s="25"/>
      <c r="J38" s="25"/>
      <c r="K38" s="25"/>
      <c r="L38" s="25"/>
      <c r="M38"/>
    </row>
    <row r="39" spans="1:13" ht="16" x14ac:dyDescent="0.45">
      <c r="A39" s="25"/>
      <c r="B39" s="25"/>
      <c r="C39" s="25" t="s">
        <v>2527</v>
      </c>
      <c r="D39" s="25"/>
      <c r="E39" s="25"/>
      <c r="F39" s="25"/>
      <c r="G39" s="25"/>
      <c r="H39" s="25"/>
      <c r="I39" s="25"/>
      <c r="J39" s="25"/>
      <c r="K39" s="25"/>
      <c r="L39" s="25"/>
      <c r="M39"/>
    </row>
    <row r="40" spans="1:13" ht="16" x14ac:dyDescent="0.45">
      <c r="A40" s="25"/>
      <c r="B40" s="25"/>
      <c r="C40" s="25"/>
      <c r="D40" s="25"/>
      <c r="E40" s="25"/>
      <c r="F40" s="25"/>
      <c r="G40" s="25"/>
      <c r="H40" s="25"/>
      <c r="I40" s="25"/>
      <c r="J40" s="25"/>
      <c r="K40" s="25"/>
      <c r="L40" s="25"/>
      <c r="M40"/>
    </row>
    <row r="41" spans="1:13" ht="16" x14ac:dyDescent="0.45">
      <c r="A41" s="25"/>
      <c r="B41" s="261" t="s">
        <v>2528</v>
      </c>
      <c r="C41" s="25"/>
      <c r="D41" s="25"/>
      <c r="E41" s="25"/>
      <c r="F41" s="25"/>
      <c r="G41" s="25"/>
      <c r="H41" s="25"/>
      <c r="I41" s="25"/>
      <c r="J41" s="25"/>
      <c r="K41" s="25"/>
      <c r="L41" s="25"/>
    </row>
    <row r="42" spans="1:13" ht="16" x14ac:dyDescent="0.45">
      <c r="A42" s="25"/>
      <c r="B42" s="25"/>
      <c r="C42" s="25"/>
      <c r="D42" s="25"/>
      <c r="E42" s="25"/>
      <c r="F42" s="25"/>
      <c r="G42" s="25"/>
      <c r="H42" s="25"/>
      <c r="I42" s="25"/>
      <c r="J42" s="25"/>
      <c r="K42" s="25"/>
      <c r="L42" s="25"/>
    </row>
    <row r="43" spans="1:13" ht="16" x14ac:dyDescent="0.45">
      <c r="A43" s="25"/>
      <c r="B43" s="25" t="s">
        <v>1</v>
      </c>
      <c r="C43" s="25" t="s">
        <v>2547</v>
      </c>
      <c r="D43" s="25"/>
      <c r="E43" s="25"/>
      <c r="F43" s="25"/>
      <c r="G43" s="25"/>
      <c r="H43" s="25"/>
      <c r="I43" s="25"/>
      <c r="J43" s="25"/>
      <c r="K43" s="25"/>
      <c r="L43" s="25"/>
    </row>
    <row r="44" spans="1:13" ht="16" x14ac:dyDescent="0.45">
      <c r="A44" s="25"/>
      <c r="B44" s="25"/>
      <c r="C44" s="25"/>
      <c r="D44" s="25"/>
      <c r="E44" s="25"/>
      <c r="F44" s="25"/>
      <c r="G44" s="25"/>
      <c r="H44" s="25"/>
      <c r="I44" s="25"/>
      <c r="J44" s="25"/>
      <c r="K44" s="25"/>
      <c r="L44" s="25"/>
    </row>
    <row r="45" spans="1:13" ht="16" x14ac:dyDescent="0.45">
      <c r="A45" s="25"/>
      <c r="B45" s="25" t="s">
        <v>2</v>
      </c>
      <c r="C45" s="25" t="s">
        <v>2548</v>
      </c>
      <c r="D45" s="25"/>
      <c r="E45" s="25"/>
      <c r="F45" s="25"/>
      <c r="G45" s="25"/>
      <c r="H45" s="25"/>
      <c r="I45" s="25"/>
      <c r="J45" s="25"/>
      <c r="K45" s="25"/>
      <c r="L45" s="25"/>
    </row>
    <row r="46" spans="1:13" ht="16" x14ac:dyDescent="0.45">
      <c r="A46" s="25"/>
      <c r="B46" s="25"/>
      <c r="C46" s="25"/>
      <c r="D46" s="25"/>
      <c r="E46" s="25"/>
      <c r="F46" s="25"/>
      <c r="G46" s="25"/>
      <c r="H46" s="25"/>
      <c r="I46" s="25"/>
      <c r="J46" s="25"/>
      <c r="K46" s="25"/>
      <c r="L46" s="25"/>
    </row>
    <row r="47" spans="1:13" ht="16" x14ac:dyDescent="0.45">
      <c r="A47" s="25"/>
      <c r="B47" s="25" t="s">
        <v>3</v>
      </c>
      <c r="C47" s="25" t="s">
        <v>2546</v>
      </c>
      <c r="D47" s="25"/>
      <c r="E47" s="25"/>
      <c r="F47" s="25"/>
      <c r="G47" s="25"/>
      <c r="H47" s="25"/>
      <c r="I47" s="25"/>
      <c r="J47" s="25"/>
      <c r="K47" s="25"/>
      <c r="L47" s="25"/>
    </row>
    <row r="48" spans="1:13" ht="16" x14ac:dyDescent="0.45">
      <c r="A48" s="25"/>
      <c r="B48" s="25"/>
      <c r="C48" s="25"/>
      <c r="D48" s="25"/>
      <c r="E48" s="25"/>
      <c r="F48" s="25"/>
      <c r="G48" s="25"/>
      <c r="H48" s="25"/>
      <c r="I48" s="25"/>
      <c r="J48" s="25"/>
      <c r="K48" s="25"/>
      <c r="L48" s="25"/>
    </row>
    <row r="49" spans="1:12" ht="16" x14ac:dyDescent="0.45">
      <c r="A49" s="25"/>
      <c r="B49" s="25"/>
      <c r="C49" s="25"/>
      <c r="D49" s="25"/>
      <c r="E49" s="25"/>
      <c r="F49" s="25"/>
      <c r="G49" s="25"/>
      <c r="H49" s="25"/>
      <c r="I49" s="25"/>
      <c r="J49" s="25"/>
      <c r="K49" s="25"/>
      <c r="L49" s="25"/>
    </row>
    <row r="50" spans="1:12" ht="16" x14ac:dyDescent="0.45">
      <c r="A50" s="25"/>
      <c r="B50" s="376"/>
      <c r="C50" s="377"/>
      <c r="D50" s="377"/>
      <c r="E50" s="377"/>
      <c r="F50" s="377"/>
      <c r="G50" s="377"/>
      <c r="H50" s="377"/>
      <c r="I50" s="377"/>
      <c r="J50" s="377"/>
      <c r="K50" s="378"/>
      <c r="L50" s="25"/>
    </row>
    <row r="51" spans="1:12" ht="16" x14ac:dyDescent="0.45">
      <c r="A51" s="25"/>
      <c r="B51" s="379"/>
      <c r="C51" s="380" t="s">
        <v>2529</v>
      </c>
      <c r="D51" s="381"/>
      <c r="E51" s="25"/>
      <c r="F51" s="25"/>
      <c r="G51" s="25"/>
      <c r="H51" s="25"/>
      <c r="I51" s="25"/>
      <c r="J51" s="25"/>
      <c r="K51" s="382"/>
      <c r="L51" s="25"/>
    </row>
    <row r="52" spans="1:12" ht="16.5" thickBot="1" x14ac:dyDescent="0.5">
      <c r="A52" s="25"/>
      <c r="B52" s="379"/>
      <c r="C52" s="25"/>
      <c r="D52" s="25"/>
      <c r="E52" s="25"/>
      <c r="F52" s="25"/>
      <c r="G52" s="25"/>
      <c r="H52" s="25"/>
      <c r="I52" s="25"/>
      <c r="J52" s="25"/>
      <c r="K52" s="382"/>
      <c r="L52" s="25"/>
    </row>
    <row r="53" spans="1:12" ht="16.5" thickBot="1" x14ac:dyDescent="0.5">
      <c r="A53" s="25"/>
      <c r="B53" s="379"/>
      <c r="C53" s="421" t="s">
        <v>2530</v>
      </c>
      <c r="D53" s="421" t="s">
        <v>2531</v>
      </c>
      <c r="E53" s="25"/>
      <c r="F53" s="25"/>
      <c r="G53" s="25"/>
      <c r="H53" s="25"/>
      <c r="I53" s="25"/>
      <c r="J53" s="25"/>
      <c r="K53" s="382"/>
      <c r="L53" s="25"/>
    </row>
    <row r="54" spans="1:12" ht="16" x14ac:dyDescent="0.45">
      <c r="A54" s="25"/>
      <c r="B54" s="379"/>
      <c r="C54" s="383" t="s">
        <v>226</v>
      </c>
      <c r="D54" s="384"/>
      <c r="E54" s="25"/>
      <c r="F54" s="25"/>
      <c r="G54" s="25"/>
      <c r="H54" s="25"/>
      <c r="I54" s="25"/>
      <c r="J54" s="25"/>
      <c r="K54" s="382"/>
      <c r="L54" s="25"/>
    </row>
    <row r="55" spans="1:12" ht="16" x14ac:dyDescent="0.45">
      <c r="A55" s="25"/>
      <c r="B55" s="379"/>
      <c r="C55" s="385" t="s">
        <v>2532</v>
      </c>
      <c r="D55" s="386">
        <v>7</v>
      </c>
      <c r="E55" s="25"/>
      <c r="F55" s="25"/>
      <c r="G55" s="25"/>
      <c r="H55" s="25"/>
      <c r="I55" s="25"/>
      <c r="J55" s="25"/>
      <c r="K55" s="382"/>
      <c r="L55" s="25"/>
    </row>
    <row r="56" spans="1:12" ht="16" x14ac:dyDescent="0.45">
      <c r="A56" s="25"/>
      <c r="B56" s="379"/>
      <c r="C56" s="387" t="s">
        <v>2533</v>
      </c>
      <c r="D56" s="388">
        <v>0.02</v>
      </c>
      <c r="E56" s="25"/>
      <c r="F56" s="25"/>
      <c r="G56" s="25"/>
      <c r="H56" s="25"/>
      <c r="I56" s="25"/>
      <c r="J56" s="25"/>
      <c r="K56" s="382"/>
      <c r="L56" s="25"/>
    </row>
    <row r="57" spans="1:12" ht="16" x14ac:dyDescent="0.45">
      <c r="A57" s="25"/>
      <c r="B57" s="379"/>
      <c r="C57" s="389"/>
      <c r="D57" s="390"/>
      <c r="E57" s="25"/>
      <c r="F57" s="25"/>
      <c r="G57" s="25"/>
      <c r="H57" s="25"/>
      <c r="I57" s="25"/>
      <c r="J57" s="25"/>
      <c r="K57" s="382"/>
      <c r="L57" s="25"/>
    </row>
    <row r="58" spans="1:12" ht="16" x14ac:dyDescent="0.45">
      <c r="A58" s="25"/>
      <c r="B58" s="379"/>
      <c r="C58" s="391" t="s">
        <v>2534</v>
      </c>
      <c r="D58" s="390"/>
      <c r="E58" s="25"/>
      <c r="F58" s="25"/>
      <c r="G58" s="25"/>
      <c r="H58" s="25"/>
      <c r="I58" s="25"/>
      <c r="J58" s="25"/>
      <c r="K58" s="382"/>
      <c r="L58" s="25"/>
    </row>
    <row r="59" spans="1:12" ht="16" x14ac:dyDescent="0.45">
      <c r="A59" s="25"/>
      <c r="B59" s="379"/>
      <c r="C59" s="385" t="s">
        <v>2535</v>
      </c>
      <c r="D59" s="392">
        <v>18000</v>
      </c>
      <c r="E59" s="25"/>
      <c r="F59" s="25"/>
      <c r="G59" s="25"/>
      <c r="H59" s="25"/>
      <c r="I59" s="25"/>
      <c r="J59" s="25"/>
      <c r="K59" s="382"/>
      <c r="L59" s="25"/>
    </row>
    <row r="60" spans="1:12" ht="16" x14ac:dyDescent="0.45">
      <c r="A60" s="25"/>
      <c r="B60" s="379"/>
      <c r="C60" s="387" t="s">
        <v>2536</v>
      </c>
      <c r="D60" s="388">
        <v>5.5E-2</v>
      </c>
      <c r="E60" s="25"/>
      <c r="F60" s="25"/>
      <c r="G60" s="25"/>
      <c r="H60" s="25"/>
      <c r="I60" s="25"/>
      <c r="J60" s="25"/>
      <c r="K60" s="382"/>
      <c r="L60" s="25"/>
    </row>
    <row r="61" spans="1:12" ht="16" x14ac:dyDescent="0.45">
      <c r="A61" s="25"/>
      <c r="B61" s="379"/>
      <c r="C61" s="389"/>
      <c r="D61" s="393"/>
      <c r="E61" s="25"/>
      <c r="F61" s="25"/>
      <c r="G61" s="25"/>
      <c r="H61" s="25"/>
      <c r="I61" s="25"/>
      <c r="J61" s="25"/>
      <c r="K61" s="382"/>
      <c r="L61" s="25"/>
    </row>
    <row r="62" spans="1:12" ht="16" x14ac:dyDescent="0.45">
      <c r="A62" s="25"/>
      <c r="B62" s="379"/>
      <c r="C62" s="391" t="s">
        <v>2537</v>
      </c>
      <c r="D62" s="393"/>
      <c r="E62" s="25"/>
      <c r="F62" s="25"/>
      <c r="G62" s="25"/>
      <c r="H62" s="25"/>
      <c r="I62" s="25"/>
      <c r="J62" s="25"/>
      <c r="K62" s="382"/>
      <c r="L62" s="25"/>
    </row>
    <row r="63" spans="1:12" ht="16" x14ac:dyDescent="0.45">
      <c r="A63" s="25"/>
      <c r="B63" s="379"/>
      <c r="C63" s="385" t="s">
        <v>2538</v>
      </c>
      <c r="D63" s="392">
        <v>97000</v>
      </c>
      <c r="E63" s="25"/>
      <c r="F63" s="25"/>
      <c r="G63" s="25"/>
      <c r="H63" s="25"/>
      <c r="I63" s="25"/>
      <c r="J63" s="25"/>
      <c r="K63" s="382"/>
      <c r="L63" s="25"/>
    </row>
    <row r="64" spans="1:12" ht="16" x14ac:dyDescent="0.45">
      <c r="A64" s="25"/>
      <c r="B64" s="379"/>
      <c r="C64" s="394" t="s">
        <v>2536</v>
      </c>
      <c r="D64" s="395">
        <v>0.06</v>
      </c>
      <c r="E64" s="25"/>
      <c r="F64" s="25"/>
      <c r="G64" s="25"/>
      <c r="H64" s="25"/>
      <c r="I64" s="25"/>
      <c r="J64" s="25"/>
      <c r="K64" s="382"/>
      <c r="L64" s="25"/>
    </row>
    <row r="65" spans="1:12" ht="16" x14ac:dyDescent="0.45">
      <c r="A65" s="25"/>
      <c r="B65" s="379"/>
      <c r="C65" s="25"/>
      <c r="D65" s="25"/>
      <c r="E65" s="25"/>
      <c r="F65" s="25"/>
      <c r="G65" s="25"/>
      <c r="H65" s="25"/>
      <c r="I65" s="25"/>
      <c r="J65" s="25"/>
      <c r="K65" s="382"/>
      <c r="L65" s="25"/>
    </row>
    <row r="66" spans="1:12" ht="16" x14ac:dyDescent="0.45">
      <c r="A66" s="25"/>
      <c r="B66" s="379"/>
      <c r="C66" s="51"/>
      <c r="D66" s="396"/>
      <c r="E66" s="25"/>
      <c r="F66" s="25"/>
      <c r="G66" s="25"/>
      <c r="H66" s="25"/>
      <c r="I66" s="25"/>
      <c r="J66" s="25"/>
      <c r="K66" s="382"/>
      <c r="L66" s="25"/>
    </row>
    <row r="67" spans="1:12" ht="16" x14ac:dyDescent="0.45">
      <c r="A67" s="25"/>
      <c r="B67" s="379"/>
      <c r="C67" s="380" t="s">
        <v>2539</v>
      </c>
      <c r="D67" s="381"/>
      <c r="E67" s="381"/>
      <c r="F67" s="381"/>
      <c r="G67" s="381"/>
      <c r="H67" s="381"/>
      <c r="I67" s="381"/>
      <c r="J67" s="25"/>
      <c r="K67" s="382"/>
      <c r="L67" s="25"/>
    </row>
    <row r="68" spans="1:12" ht="16.5" thickBot="1" x14ac:dyDescent="0.5">
      <c r="A68" s="25"/>
      <c r="B68" s="379"/>
      <c r="C68" s="380"/>
      <c r="D68" s="381"/>
      <c r="E68" s="381"/>
      <c r="F68" s="381"/>
      <c r="G68" s="381"/>
      <c r="H68" s="381"/>
      <c r="I68" s="381"/>
      <c r="J68" s="25"/>
      <c r="K68" s="382"/>
      <c r="L68" s="25"/>
    </row>
    <row r="69" spans="1:12" ht="16.5" thickBot="1" x14ac:dyDescent="0.5">
      <c r="A69" s="25"/>
      <c r="B69" s="379"/>
      <c r="C69" s="421" t="s">
        <v>2446</v>
      </c>
      <c r="D69" s="421" t="s">
        <v>425</v>
      </c>
      <c r="E69" s="421" t="s">
        <v>2549</v>
      </c>
      <c r="F69" s="421" t="s">
        <v>315</v>
      </c>
      <c r="G69" s="421" t="s">
        <v>2540</v>
      </c>
      <c r="H69" s="421" t="s">
        <v>226</v>
      </c>
      <c r="I69" s="421" t="s">
        <v>2534</v>
      </c>
      <c r="J69" s="421" t="s">
        <v>2541</v>
      </c>
      <c r="K69" s="382"/>
      <c r="L69" s="25"/>
    </row>
    <row r="70" spans="1:12" ht="16.5" thickBot="1" x14ac:dyDescent="0.5">
      <c r="A70" s="25"/>
      <c r="B70" s="379"/>
      <c r="C70" s="397" t="s">
        <v>23</v>
      </c>
      <c r="D70" s="398">
        <v>11958</v>
      </c>
      <c r="E70" s="398">
        <v>20963</v>
      </c>
      <c r="F70" s="397">
        <v>2</v>
      </c>
      <c r="G70" s="397" t="s">
        <v>2542</v>
      </c>
      <c r="H70" s="492" t="str">
        <f>IF(OR(E70&gt;18000,F70&gt;7),"2.0%",0)</f>
        <v>2.0%</v>
      </c>
      <c r="I70" s="406">
        <f>IF(AND(E70&gt;$D$59,E70&gt;$D$59),D$60,0)</f>
        <v>5.5E-2</v>
      </c>
      <c r="J70" s="406">
        <f>IF(G70="Team A",$D$64,IF(G70="Team D",$D$64,0))</f>
        <v>0</v>
      </c>
      <c r="K70" s="382"/>
    </row>
    <row r="71" spans="1:12" ht="16.5" thickBot="1" x14ac:dyDescent="0.5">
      <c r="A71" s="25"/>
      <c r="B71" s="379"/>
      <c r="C71" s="25" t="s">
        <v>24</v>
      </c>
      <c r="D71" s="396">
        <v>32700</v>
      </c>
      <c r="E71" s="396">
        <v>23000</v>
      </c>
      <c r="F71" s="25">
        <v>8</v>
      </c>
      <c r="G71" s="25" t="s">
        <v>2543</v>
      </c>
      <c r="H71" s="492" t="str">
        <f t="shared" ref="H71:H83" si="1">IF(OR(E71&gt;18000,F71&gt;7),"2.0%",0)</f>
        <v>2.0%</v>
      </c>
      <c r="I71" s="406">
        <f t="shared" ref="I71:I83" si="2">IF(AND(E71&gt;$D$59,E71&gt;$D$59),D$60,0)</f>
        <v>5.5E-2</v>
      </c>
      <c r="J71" s="406">
        <f>IF(G71="Team A",$D$64,IF(G71="Team D",$D$64,0))</f>
        <v>0.06</v>
      </c>
      <c r="K71" s="382"/>
    </row>
    <row r="72" spans="1:12" ht="16.5" thickBot="1" x14ac:dyDescent="0.5">
      <c r="A72" s="25"/>
      <c r="B72" s="379"/>
      <c r="C72" s="399" t="s">
        <v>26</v>
      </c>
      <c r="D72" s="400">
        <v>17517</v>
      </c>
      <c r="E72" s="400">
        <v>18321</v>
      </c>
      <c r="F72" s="399">
        <v>11</v>
      </c>
      <c r="G72" s="399" t="s">
        <v>2543</v>
      </c>
      <c r="H72" s="492" t="str">
        <f t="shared" si="1"/>
        <v>2.0%</v>
      </c>
      <c r="I72" s="406">
        <f t="shared" si="2"/>
        <v>5.5E-2</v>
      </c>
      <c r="J72" s="406">
        <f t="shared" ref="J72:J83" si="3">IF(G72="Team A",$D$64,IF(G72="Team D",$D$64,0))</f>
        <v>0.06</v>
      </c>
      <c r="K72" s="382"/>
    </row>
    <row r="73" spans="1:12" ht="16.5" thickBot="1" x14ac:dyDescent="0.5">
      <c r="A73" s="25"/>
      <c r="B73" s="379"/>
      <c r="C73" s="25" t="s">
        <v>28</v>
      </c>
      <c r="D73" s="396">
        <v>30918</v>
      </c>
      <c r="E73" s="396">
        <v>19121</v>
      </c>
      <c r="F73" s="25">
        <v>5</v>
      </c>
      <c r="G73" s="25" t="s">
        <v>2544</v>
      </c>
      <c r="H73" s="492" t="str">
        <f t="shared" si="1"/>
        <v>2.0%</v>
      </c>
      <c r="I73" s="406">
        <f t="shared" si="2"/>
        <v>5.5E-2</v>
      </c>
      <c r="J73" s="406">
        <f t="shared" si="3"/>
        <v>0.06</v>
      </c>
      <c r="K73" s="382"/>
    </row>
    <row r="74" spans="1:12" ht="16.5" thickBot="1" x14ac:dyDescent="0.5">
      <c r="A74" s="25"/>
      <c r="B74" s="379"/>
      <c r="C74" s="399" t="s">
        <v>29</v>
      </c>
      <c r="D74" s="400">
        <v>14894</v>
      </c>
      <c r="E74" s="400">
        <v>28489</v>
      </c>
      <c r="F74" s="399">
        <v>11</v>
      </c>
      <c r="G74" s="399" t="s">
        <v>2542</v>
      </c>
      <c r="H74" s="492" t="str">
        <f t="shared" si="1"/>
        <v>2.0%</v>
      </c>
      <c r="I74" s="406">
        <f t="shared" si="2"/>
        <v>5.5E-2</v>
      </c>
      <c r="J74" s="406">
        <f t="shared" si="3"/>
        <v>0</v>
      </c>
      <c r="K74" s="382"/>
    </row>
    <row r="75" spans="1:12" ht="16.5" thickBot="1" x14ac:dyDescent="0.5">
      <c r="A75" s="25"/>
      <c r="B75" s="379"/>
      <c r="C75" s="25" t="s">
        <v>30</v>
      </c>
      <c r="D75" s="396">
        <v>12124</v>
      </c>
      <c r="E75" s="396">
        <v>24086</v>
      </c>
      <c r="F75" s="25">
        <v>7</v>
      </c>
      <c r="G75" s="25" t="s">
        <v>2544</v>
      </c>
      <c r="H75" s="492" t="str">
        <f t="shared" si="1"/>
        <v>2.0%</v>
      </c>
      <c r="I75" s="406">
        <f t="shared" si="2"/>
        <v>5.5E-2</v>
      </c>
      <c r="J75" s="406">
        <f t="shared" si="3"/>
        <v>0.06</v>
      </c>
      <c r="K75" s="382"/>
    </row>
    <row r="76" spans="1:12" ht="16.5" thickBot="1" x14ac:dyDescent="0.5">
      <c r="A76" s="25"/>
      <c r="B76" s="379"/>
      <c r="C76" s="399" t="s">
        <v>31</v>
      </c>
      <c r="D76" s="400">
        <v>32844</v>
      </c>
      <c r="E76" s="400">
        <v>24835</v>
      </c>
      <c r="F76" s="399">
        <v>10</v>
      </c>
      <c r="G76" s="399" t="s">
        <v>2545</v>
      </c>
      <c r="H76" s="492" t="str">
        <f t="shared" si="1"/>
        <v>2.0%</v>
      </c>
      <c r="I76" s="406">
        <f t="shared" si="2"/>
        <v>5.5E-2</v>
      </c>
      <c r="J76" s="406">
        <f t="shared" si="3"/>
        <v>0</v>
      </c>
      <c r="K76" s="382"/>
    </row>
    <row r="77" spans="1:12" ht="16.5" thickBot="1" x14ac:dyDescent="0.5">
      <c r="A77" s="25"/>
      <c r="B77" s="379"/>
      <c r="C77" s="25" t="s">
        <v>32</v>
      </c>
      <c r="D77" s="396">
        <v>16636</v>
      </c>
      <c r="E77" s="396">
        <v>25502</v>
      </c>
      <c r="F77" s="25">
        <v>2</v>
      </c>
      <c r="G77" s="25" t="s">
        <v>2544</v>
      </c>
      <c r="H77" s="492" t="str">
        <f t="shared" si="1"/>
        <v>2.0%</v>
      </c>
      <c r="I77" s="406">
        <f t="shared" si="2"/>
        <v>5.5E-2</v>
      </c>
      <c r="J77" s="406">
        <f t="shared" si="3"/>
        <v>0.06</v>
      </c>
      <c r="K77" s="382"/>
    </row>
    <row r="78" spans="1:12" ht="16.5" thickBot="1" x14ac:dyDescent="0.5">
      <c r="A78" s="25"/>
      <c r="B78" s="379"/>
      <c r="C78" s="399" t="s">
        <v>33</v>
      </c>
      <c r="D78" s="400">
        <v>13569</v>
      </c>
      <c r="E78" s="400">
        <v>20534</v>
      </c>
      <c r="F78" s="399">
        <v>10</v>
      </c>
      <c r="G78" s="399" t="s">
        <v>2544</v>
      </c>
      <c r="H78" s="492" t="str">
        <f t="shared" si="1"/>
        <v>2.0%</v>
      </c>
      <c r="I78" s="406">
        <f t="shared" si="2"/>
        <v>5.5E-2</v>
      </c>
      <c r="J78" s="406">
        <f t="shared" si="3"/>
        <v>0.06</v>
      </c>
      <c r="K78" s="382"/>
    </row>
    <row r="79" spans="1:12" ht="16.5" thickBot="1" x14ac:dyDescent="0.5">
      <c r="A79" s="25"/>
      <c r="B79" s="379"/>
      <c r="C79" s="25" t="s">
        <v>34</v>
      </c>
      <c r="D79" s="396">
        <v>29760</v>
      </c>
      <c r="E79" s="396">
        <v>10504</v>
      </c>
      <c r="F79" s="25">
        <v>3</v>
      </c>
      <c r="G79" s="25" t="s">
        <v>2544</v>
      </c>
      <c r="H79" s="492">
        <f t="shared" si="1"/>
        <v>0</v>
      </c>
      <c r="I79" s="406">
        <f t="shared" si="2"/>
        <v>0</v>
      </c>
      <c r="J79" s="406">
        <f t="shared" si="3"/>
        <v>0.06</v>
      </c>
      <c r="K79" s="382"/>
    </row>
    <row r="80" spans="1:12" ht="16.5" thickBot="1" x14ac:dyDescent="0.5">
      <c r="A80" s="25"/>
      <c r="B80" s="379"/>
      <c r="C80" s="399" t="s">
        <v>35</v>
      </c>
      <c r="D80" s="400">
        <v>7259</v>
      </c>
      <c r="E80" s="400">
        <v>16227</v>
      </c>
      <c r="F80" s="399">
        <v>6</v>
      </c>
      <c r="G80" s="399" t="s">
        <v>2544</v>
      </c>
      <c r="H80" s="492">
        <f t="shared" si="1"/>
        <v>0</v>
      </c>
      <c r="I80" s="406">
        <f t="shared" si="2"/>
        <v>0</v>
      </c>
      <c r="J80" s="406">
        <f t="shared" si="3"/>
        <v>0.06</v>
      </c>
      <c r="K80" s="382"/>
    </row>
    <row r="81" spans="1:12" ht="16.5" thickBot="1" x14ac:dyDescent="0.5">
      <c r="A81" s="25"/>
      <c r="B81" s="379"/>
      <c r="C81" s="25" t="s">
        <v>36</v>
      </c>
      <c r="D81" s="396">
        <v>15378</v>
      </c>
      <c r="E81" s="396">
        <v>11176</v>
      </c>
      <c r="F81" s="25">
        <v>3</v>
      </c>
      <c r="G81" s="25" t="s">
        <v>2545</v>
      </c>
      <c r="H81" s="492">
        <f t="shared" si="1"/>
        <v>0</v>
      </c>
      <c r="I81" s="406">
        <f t="shared" si="2"/>
        <v>0</v>
      </c>
      <c r="J81" s="406">
        <f t="shared" si="3"/>
        <v>0</v>
      </c>
      <c r="K81" s="382"/>
    </row>
    <row r="82" spans="1:12" ht="16.5" thickBot="1" x14ac:dyDescent="0.5">
      <c r="A82" s="25"/>
      <c r="B82" s="379"/>
      <c r="C82" s="399" t="s">
        <v>37</v>
      </c>
      <c r="D82" s="400">
        <v>16800</v>
      </c>
      <c r="E82" s="400">
        <v>17600</v>
      </c>
      <c r="F82" s="399">
        <v>9</v>
      </c>
      <c r="G82" s="399" t="s">
        <v>2543</v>
      </c>
      <c r="H82" s="492" t="str">
        <f t="shared" si="1"/>
        <v>2.0%</v>
      </c>
      <c r="I82" s="406">
        <f t="shared" si="2"/>
        <v>0</v>
      </c>
      <c r="J82" s="406">
        <f t="shared" si="3"/>
        <v>0.06</v>
      </c>
      <c r="K82" s="382"/>
    </row>
    <row r="83" spans="1:12" ht="16.5" thickBot="1" x14ac:dyDescent="0.5">
      <c r="A83" s="25"/>
      <c r="B83" s="379"/>
      <c r="C83" s="401" t="s">
        <v>38</v>
      </c>
      <c r="D83" s="402">
        <v>35500</v>
      </c>
      <c r="E83" s="402">
        <v>21707</v>
      </c>
      <c r="F83" s="401">
        <v>12</v>
      </c>
      <c r="G83" s="401" t="s">
        <v>2543</v>
      </c>
      <c r="H83" s="492" t="str">
        <f t="shared" si="1"/>
        <v>2.0%</v>
      </c>
      <c r="I83" s="406">
        <f t="shared" si="2"/>
        <v>5.5E-2</v>
      </c>
      <c r="J83" s="406">
        <f t="shared" si="3"/>
        <v>0.06</v>
      </c>
      <c r="K83" s="382"/>
    </row>
    <row r="84" spans="1:12" ht="16" x14ac:dyDescent="0.45">
      <c r="A84" s="25"/>
      <c r="B84" s="403"/>
      <c r="C84" s="404"/>
      <c r="D84" s="404"/>
      <c r="E84" s="404"/>
      <c r="F84" s="404"/>
      <c r="G84" s="404"/>
      <c r="H84" s="404"/>
      <c r="I84" s="404"/>
      <c r="J84" s="404"/>
      <c r="K84" s="405"/>
    </row>
    <row r="85" spans="1:12" ht="16" x14ac:dyDescent="0.45">
      <c r="A85" s="25"/>
      <c r="B85" s="25"/>
      <c r="C85" s="25"/>
      <c r="D85" s="25"/>
      <c r="E85" s="25"/>
      <c r="F85" s="25"/>
      <c r="G85" s="25"/>
      <c r="H85" s="25"/>
      <c r="I85" s="25"/>
      <c r="J85" s="25"/>
      <c r="K85" s="25"/>
      <c r="L85" s="25"/>
    </row>
    <row r="86" spans="1:12" x14ac:dyDescent="0.3">
      <c r="D86" s="356" t="s">
        <v>2705</v>
      </c>
      <c r="E86" s="356">
        <f>SUMIF(G70:G83,"Team A",D70:D83)</f>
        <v>110266</v>
      </c>
      <c r="G86" s="356" t="b">
        <f>E86&gt;$D$63</f>
        <v>1</v>
      </c>
    </row>
    <row r="87" spans="1:12" x14ac:dyDescent="0.3">
      <c r="D87" s="356" t="s">
        <v>2706</v>
      </c>
      <c r="E87" s="356">
        <f>SUMIF(G70:G83,"Team B",D70:D83)</f>
        <v>48222</v>
      </c>
      <c r="G87" s="356" t="b">
        <f t="shared" ref="G87:G89" si="4">E87&gt;$D$63</f>
        <v>0</v>
      </c>
    </row>
    <row r="88" spans="1:12" x14ac:dyDescent="0.3">
      <c r="D88" s="356" t="s">
        <v>2707</v>
      </c>
      <c r="E88" s="356">
        <f>SUMIF(G70:G83,"Team C",D70:D83)</f>
        <v>26852</v>
      </c>
      <c r="G88" s="356" t="b">
        <f t="shared" si="4"/>
        <v>0</v>
      </c>
    </row>
    <row r="89" spans="1:12" x14ac:dyDescent="0.3">
      <c r="D89" s="356" t="s">
        <v>2708</v>
      </c>
      <c r="E89" s="356">
        <f>SUMIF(G70:G83,"Team D",D70:D83)</f>
        <v>102517</v>
      </c>
      <c r="G89" s="356" t="b">
        <f t="shared" si="4"/>
        <v>1</v>
      </c>
    </row>
  </sheetData>
  <mergeCells count="2">
    <mergeCell ref="C12:E12"/>
    <mergeCell ref="G12:H12"/>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7328-27D7-4321-86EF-D4DF64BBB869}">
  <sheetPr codeName="Sheet36">
    <tabColor rgb="FFC00000"/>
  </sheetPr>
  <dimension ref="A1:W36"/>
  <sheetViews>
    <sheetView showGridLines="0" topLeftCell="D12" workbookViewId="0">
      <selection activeCell="H11" sqref="H11"/>
    </sheetView>
  </sheetViews>
  <sheetFormatPr defaultColWidth="9.1796875" defaultRowHeight="13" x14ac:dyDescent="0.3"/>
  <cols>
    <col min="1" max="1" width="2" style="356" customWidth="1"/>
    <col min="2" max="2" width="18.1796875" style="356" customWidth="1"/>
    <col min="3" max="3" width="12.1796875" style="356" customWidth="1"/>
    <col min="4" max="4" width="18" style="356" bestFit="1" customWidth="1"/>
    <col min="5" max="5" width="15" style="356" bestFit="1" customWidth="1"/>
    <col min="6" max="6" width="12.26953125" style="356" bestFit="1" customWidth="1"/>
    <col min="7" max="7" width="13.81640625" style="356" bestFit="1" customWidth="1"/>
    <col min="8" max="8" width="12.7265625" style="356" bestFit="1" customWidth="1"/>
    <col min="9" max="9" width="13.453125" style="356" bestFit="1" customWidth="1"/>
    <col min="10" max="11" width="13" style="356" customWidth="1"/>
    <col min="12" max="12" width="1.81640625" style="356" bestFit="1" customWidth="1"/>
    <col min="13" max="13" width="17.26953125" style="356" customWidth="1"/>
    <col min="14" max="14" width="16.7265625" style="356" customWidth="1"/>
    <col min="15" max="15" width="6.81640625" style="356" customWidth="1"/>
    <col min="16" max="16384" width="9.1796875" style="356"/>
  </cols>
  <sheetData>
    <row r="1" spans="1:23" ht="16" x14ac:dyDescent="0.45">
      <c r="A1" s="25"/>
      <c r="B1" s="25"/>
      <c r="C1" s="25"/>
    </row>
    <row r="2" spans="1:23" ht="16" x14ac:dyDescent="0.45">
      <c r="A2" s="25"/>
      <c r="B2" s="126"/>
      <c r="C2" s="126"/>
      <c r="D2" s="126"/>
      <c r="E2" s="126"/>
      <c r="F2" s="126"/>
      <c r="G2" s="126"/>
      <c r="H2" s="126"/>
      <c r="I2" s="126"/>
      <c r="J2" s="126"/>
      <c r="K2" s="126"/>
      <c r="L2" s="126"/>
      <c r="M2" s="126"/>
      <c r="N2" s="126"/>
      <c r="O2" s="126"/>
      <c r="P2" s="126"/>
      <c r="Q2" s="126"/>
      <c r="R2" s="126"/>
      <c r="S2" s="126"/>
      <c r="T2" s="126"/>
      <c r="U2" s="126"/>
      <c r="V2" s="126"/>
      <c r="W2" s="126"/>
    </row>
    <row r="3" spans="1:23" ht="16" x14ac:dyDescent="0.45">
      <c r="A3" s="25"/>
      <c r="B3" s="127" t="s">
        <v>326</v>
      </c>
      <c r="C3" s="128"/>
      <c r="D3" s="128"/>
      <c r="E3" s="128"/>
      <c r="F3" s="128"/>
      <c r="G3" s="128"/>
      <c r="H3" s="128"/>
      <c r="I3" s="128"/>
      <c r="J3" s="128"/>
      <c r="K3" s="128"/>
      <c r="L3" s="128"/>
      <c r="M3" s="128"/>
      <c r="N3" s="128"/>
      <c r="O3" s="128"/>
      <c r="P3" s="128"/>
      <c r="Q3" s="128"/>
      <c r="R3" s="128"/>
      <c r="S3" s="128"/>
      <c r="T3" s="128"/>
      <c r="U3" s="128"/>
      <c r="V3" s="128"/>
      <c r="W3" s="128"/>
    </row>
    <row r="4" spans="1:23" ht="16" x14ac:dyDescent="0.45">
      <c r="A4" s="25"/>
      <c r="B4" s="128" t="s">
        <v>364</v>
      </c>
      <c r="C4" s="126"/>
      <c r="D4" s="126"/>
      <c r="E4" s="126"/>
      <c r="F4" s="126"/>
      <c r="G4" s="126"/>
      <c r="H4" s="126"/>
      <c r="I4" s="126"/>
      <c r="J4" s="126"/>
      <c r="K4" s="126"/>
      <c r="L4" s="126"/>
      <c r="M4" s="126"/>
      <c r="N4" s="126"/>
      <c r="O4" s="126"/>
      <c r="P4" s="126"/>
      <c r="Q4" s="126"/>
      <c r="R4" s="126"/>
      <c r="S4" s="126"/>
      <c r="T4" s="126"/>
      <c r="U4" s="126"/>
      <c r="V4" s="126"/>
      <c r="W4" s="126"/>
    </row>
    <row r="8" spans="1:23" ht="16" x14ac:dyDescent="0.45">
      <c r="A8" s="61" t="s">
        <v>14</v>
      </c>
      <c r="B8" s="407" t="s">
        <v>2579</v>
      </c>
      <c r="C8" s="408"/>
      <c r="D8" s="408"/>
      <c r="E8" s="360"/>
      <c r="F8" s="360"/>
      <c r="G8" s="357"/>
      <c r="H8" s="409"/>
      <c r="I8" s="357"/>
      <c r="T8"/>
      <c r="U8"/>
      <c r="V8"/>
      <c r="W8"/>
    </row>
    <row r="9" spans="1:23" ht="16" x14ac:dyDescent="0.45">
      <c r="A9" s="61"/>
      <c r="B9" s="360"/>
      <c r="C9" s="360"/>
      <c r="D9" s="360"/>
      <c r="E9" s="360"/>
      <c r="F9" s="360"/>
      <c r="G9" s="357"/>
      <c r="H9" s="409"/>
      <c r="I9" s="357"/>
      <c r="T9"/>
      <c r="U9"/>
      <c r="V9"/>
      <c r="W9"/>
    </row>
    <row r="10" spans="1:23" ht="16" x14ac:dyDescent="0.45">
      <c r="A10" s="61"/>
      <c r="B10" s="465" t="s">
        <v>2551</v>
      </c>
      <c r="C10" s="465" t="s">
        <v>308</v>
      </c>
      <c r="D10" s="465" t="s">
        <v>2446</v>
      </c>
      <c r="E10" s="465" t="s">
        <v>2447</v>
      </c>
      <c r="F10" s="465" t="s">
        <v>2580</v>
      </c>
      <c r="G10" s="465" t="s">
        <v>2552</v>
      </c>
      <c r="H10" s="465" t="s">
        <v>2553</v>
      </c>
      <c r="I10" s="465" t="s">
        <v>2554</v>
      </c>
      <c r="J10" s="360"/>
      <c r="L10" s="356" t="s">
        <v>14</v>
      </c>
      <c r="M10" s="258" t="s">
        <v>2483</v>
      </c>
      <c r="N10" s="416"/>
      <c r="O10" s="415"/>
      <c r="P10" s="415"/>
      <c r="Q10" s="415"/>
      <c r="R10" s="415"/>
      <c r="S10" s="415"/>
      <c r="T10" s="415"/>
      <c r="U10" s="415"/>
      <c r="V10" s="415"/>
      <c r="W10" s="415"/>
    </row>
    <row r="11" spans="1:23" ht="16" x14ac:dyDescent="0.45">
      <c r="A11" s="61"/>
      <c r="B11" s="411" t="s">
        <v>2555</v>
      </c>
      <c r="C11" s="411">
        <v>43684</v>
      </c>
      <c r="D11" s="412" t="s">
        <v>2448</v>
      </c>
      <c r="E11" s="412" t="s">
        <v>2449</v>
      </c>
      <c r="F11" s="412" t="s">
        <v>2450</v>
      </c>
      <c r="G11" s="412">
        <v>7199.55</v>
      </c>
      <c r="H11" s="478">
        <f t="shared" ref="H11:H34" si="0">INDEX(N$28:N$33,MATCH(G11,M$28:M$33,1))</f>
        <v>0.08</v>
      </c>
      <c r="I11" s="479">
        <f>G11*(1-H11)</f>
        <v>6623.5860000000002</v>
      </c>
      <c r="J11" s="360"/>
      <c r="M11"/>
      <c r="N11"/>
      <c r="O11"/>
      <c r="P11"/>
      <c r="Q11"/>
      <c r="R11"/>
      <c r="S11"/>
      <c r="T11"/>
      <c r="U11"/>
      <c r="V11"/>
      <c r="W11"/>
    </row>
    <row r="12" spans="1:23" ht="16" x14ac:dyDescent="0.45">
      <c r="A12" s="61"/>
      <c r="B12" s="411" t="s">
        <v>2556</v>
      </c>
      <c r="C12" s="411">
        <v>43684</v>
      </c>
      <c r="D12" s="412" t="s">
        <v>2451</v>
      </c>
      <c r="E12" s="412" t="s">
        <v>2452</v>
      </c>
      <c r="F12" s="412" t="s">
        <v>2453</v>
      </c>
      <c r="G12" s="412">
        <v>2027.3999999999999</v>
      </c>
      <c r="H12" s="478">
        <f t="shared" si="0"/>
        <v>0.03</v>
      </c>
      <c r="I12" s="412">
        <f t="shared" ref="I12:I34" si="1">G12*(1-H12)</f>
        <v>1966.5779999999997</v>
      </c>
      <c r="J12" s="360"/>
      <c r="M12" s="417" t="s">
        <v>2551</v>
      </c>
      <c r="N12" s="414" t="s">
        <v>2556</v>
      </c>
      <c r="O12"/>
      <c r="P12" t="s">
        <v>2584</v>
      </c>
      <c r="Q12"/>
      <c r="R12"/>
      <c r="S12"/>
      <c r="T12"/>
      <c r="U12"/>
      <c r="V12"/>
      <c r="W12"/>
    </row>
    <row r="13" spans="1:23" ht="16" x14ac:dyDescent="0.45">
      <c r="A13" s="61"/>
      <c r="B13" s="411" t="s">
        <v>2557</v>
      </c>
      <c r="C13" s="411">
        <v>43684</v>
      </c>
      <c r="D13" s="412" t="s">
        <v>2454</v>
      </c>
      <c r="E13" s="412" t="s">
        <v>2455</v>
      </c>
      <c r="F13" s="412" t="s">
        <v>2456</v>
      </c>
      <c r="G13" s="412">
        <v>3409.5</v>
      </c>
      <c r="H13" s="478">
        <f t="shared" si="0"/>
        <v>4.4999999999999998E-2</v>
      </c>
      <c r="I13" s="412">
        <f t="shared" si="1"/>
        <v>3256.0724999999998</v>
      </c>
      <c r="J13" s="360"/>
      <c r="M13"/>
      <c r="N13"/>
      <c r="O13"/>
      <c r="P13"/>
      <c r="Q13"/>
      <c r="R13"/>
      <c r="S13"/>
      <c r="T13"/>
      <c r="U13"/>
      <c r="V13"/>
      <c r="W13"/>
    </row>
    <row r="14" spans="1:23" ht="16" x14ac:dyDescent="0.45">
      <c r="A14" s="61"/>
      <c r="B14" s="411" t="s">
        <v>2558</v>
      </c>
      <c r="C14" s="411">
        <v>43685</v>
      </c>
      <c r="D14" s="412" t="s">
        <v>2457</v>
      </c>
      <c r="E14" s="412" t="s">
        <v>2449</v>
      </c>
      <c r="F14" s="412" t="s">
        <v>2453</v>
      </c>
      <c r="G14" s="412">
        <v>2534.25</v>
      </c>
      <c r="H14" s="478">
        <f t="shared" si="0"/>
        <v>0.03</v>
      </c>
      <c r="I14" s="412">
        <f t="shared" si="1"/>
        <v>2458.2224999999999</v>
      </c>
      <c r="J14" s="360"/>
      <c r="M14"/>
      <c r="N14"/>
      <c r="O14"/>
      <c r="P14"/>
      <c r="Q14"/>
      <c r="R14"/>
      <c r="S14"/>
      <c r="T14"/>
      <c r="U14"/>
      <c r="V14"/>
      <c r="W14"/>
    </row>
    <row r="15" spans="1:23" ht="16" x14ac:dyDescent="0.45">
      <c r="A15" s="61"/>
      <c r="B15" s="411" t="s">
        <v>2559</v>
      </c>
      <c r="C15" s="411">
        <v>43686</v>
      </c>
      <c r="D15" s="412" t="s">
        <v>2457</v>
      </c>
      <c r="E15" s="412" t="s">
        <v>2458</v>
      </c>
      <c r="F15" s="412" t="s">
        <v>2450</v>
      </c>
      <c r="G15" s="412">
        <v>7199.55</v>
      </c>
      <c r="H15" s="478">
        <f t="shared" si="0"/>
        <v>0.08</v>
      </c>
      <c r="I15" s="412">
        <f t="shared" si="1"/>
        <v>6623.5860000000002</v>
      </c>
      <c r="J15" s="360"/>
      <c r="M15" s="417" t="s">
        <v>308</v>
      </c>
      <c r="N15" s="419">
        <f>INDEX(Data[Date],MATCH(N12,Data[Transaction ID],0))</f>
        <v>43684</v>
      </c>
      <c r="O15"/>
      <c r="P15" t="s">
        <v>2582</v>
      </c>
      <c r="Q15"/>
      <c r="R15"/>
      <c r="S15"/>
      <c r="T15"/>
      <c r="U15"/>
      <c r="V15"/>
      <c r="W15"/>
    </row>
    <row r="16" spans="1:23" ht="16" x14ac:dyDescent="0.45">
      <c r="A16" s="61"/>
      <c r="B16" s="411" t="s">
        <v>2560</v>
      </c>
      <c r="C16" s="411">
        <v>43686</v>
      </c>
      <c r="D16" s="412" t="s">
        <v>2457</v>
      </c>
      <c r="E16" s="412" t="s">
        <v>2455</v>
      </c>
      <c r="F16" s="412" t="s">
        <v>2453</v>
      </c>
      <c r="G16" s="412">
        <v>2027.3999999999999</v>
      </c>
      <c r="H16" s="478">
        <f t="shared" si="0"/>
        <v>0.03</v>
      </c>
      <c r="I16" s="412">
        <f t="shared" si="1"/>
        <v>1966.5779999999997</v>
      </c>
      <c r="J16" s="360"/>
      <c r="M16" s="417" t="s">
        <v>2446</v>
      </c>
      <c r="N16" s="419" t="str">
        <f>INDEX(Data[Salesperson],MATCH(N12,Data[Transaction ID],0))</f>
        <v>Christensen, Jill</v>
      </c>
      <c r="O16"/>
      <c r="P16" t="s">
        <v>2583</v>
      </c>
      <c r="Q16"/>
      <c r="R16"/>
      <c r="S16"/>
      <c r="T16"/>
      <c r="U16"/>
      <c r="V16"/>
      <c r="W16"/>
    </row>
    <row r="17" spans="1:23" ht="16" x14ac:dyDescent="0.45">
      <c r="A17" s="61"/>
      <c r="B17" s="411" t="s">
        <v>2561</v>
      </c>
      <c r="C17" s="411">
        <v>43686</v>
      </c>
      <c r="D17" s="412" t="s">
        <v>2459</v>
      </c>
      <c r="E17" s="412" t="s">
        <v>2449</v>
      </c>
      <c r="F17" s="412" t="s">
        <v>2450</v>
      </c>
      <c r="G17" s="412">
        <v>7199.55</v>
      </c>
      <c r="H17" s="478">
        <f t="shared" si="0"/>
        <v>0.08</v>
      </c>
      <c r="I17" s="412">
        <f t="shared" si="1"/>
        <v>6623.5860000000002</v>
      </c>
      <c r="J17" s="360"/>
      <c r="K17" s="360"/>
      <c r="L17" s="360"/>
      <c r="M17" s="417" t="s">
        <v>2447</v>
      </c>
      <c r="N17" s="419" t="str">
        <f>INDEX(Data[Customer],MATCH(N12,Data[Transaction ID],0))</f>
        <v>Corporate</v>
      </c>
      <c r="O17"/>
      <c r="P17"/>
      <c r="Q17"/>
      <c r="R17"/>
      <c r="S17"/>
      <c r="T17"/>
      <c r="U17"/>
      <c r="V17"/>
      <c r="W17"/>
    </row>
    <row r="18" spans="1:23" ht="16" x14ac:dyDescent="0.45">
      <c r="A18" s="61"/>
      <c r="B18" s="411" t="s">
        <v>2562</v>
      </c>
      <c r="C18" s="411">
        <v>43686</v>
      </c>
      <c r="D18" s="412" t="s">
        <v>2460</v>
      </c>
      <c r="E18" s="412" t="s">
        <v>2458</v>
      </c>
      <c r="F18" s="412" t="s">
        <v>2461</v>
      </c>
      <c r="G18" s="412">
        <v>2045.6999999999998</v>
      </c>
      <c r="H18" s="478">
        <f t="shared" si="0"/>
        <v>0.03</v>
      </c>
      <c r="I18" s="412">
        <f t="shared" si="1"/>
        <v>1984.3289999999997</v>
      </c>
      <c r="J18" s="360"/>
      <c r="K18" s="360"/>
      <c r="L18" s="360"/>
      <c r="M18" s="417" t="s">
        <v>2580</v>
      </c>
      <c r="N18" s="419" t="str">
        <f>INDEX(Data[Item],MATCH(N12,Data[Transaction ID],0))</f>
        <v>Macbook</v>
      </c>
      <c r="O18"/>
      <c r="P18"/>
      <c r="Q18"/>
      <c r="R18"/>
      <c r="S18"/>
      <c r="T18"/>
      <c r="U18"/>
      <c r="V18"/>
      <c r="W18"/>
    </row>
    <row r="19" spans="1:23" ht="16" x14ac:dyDescent="0.45">
      <c r="A19" s="61"/>
      <c r="B19" s="411" t="s">
        <v>2563</v>
      </c>
      <c r="C19" s="411">
        <v>43687</v>
      </c>
      <c r="D19" s="412" t="s">
        <v>2462</v>
      </c>
      <c r="E19" s="412" t="s">
        <v>2455</v>
      </c>
      <c r="F19" s="412" t="s">
        <v>2463</v>
      </c>
      <c r="G19" s="412">
        <v>639.91999999999996</v>
      </c>
      <c r="H19" s="478">
        <f t="shared" si="0"/>
        <v>0</v>
      </c>
      <c r="I19" s="412">
        <f t="shared" si="1"/>
        <v>639.91999999999996</v>
      </c>
      <c r="J19" s="360"/>
      <c r="K19" s="360"/>
      <c r="L19" s="360"/>
      <c r="M19" s="417" t="s">
        <v>2552</v>
      </c>
      <c r="N19" s="477">
        <f>INDEX(Data[Total Cost],MATCH(N12,Data[Transaction ID],0))</f>
        <v>2027.3999999999999</v>
      </c>
      <c r="O19"/>
      <c r="P19"/>
      <c r="Q19"/>
      <c r="R19"/>
      <c r="S19"/>
      <c r="T19"/>
      <c r="U19"/>
      <c r="V19"/>
      <c r="W19"/>
    </row>
    <row r="20" spans="1:23" ht="16" x14ac:dyDescent="0.45">
      <c r="A20" s="61"/>
      <c r="B20" s="411" t="s">
        <v>2564</v>
      </c>
      <c r="C20" s="411">
        <v>43687</v>
      </c>
      <c r="D20" s="412" t="s">
        <v>2457</v>
      </c>
      <c r="E20" s="412" t="s">
        <v>2464</v>
      </c>
      <c r="F20" s="412" t="s">
        <v>2450</v>
      </c>
      <c r="G20" s="412">
        <v>6399.6</v>
      </c>
      <c r="H20" s="478">
        <f t="shared" si="0"/>
        <v>0.08</v>
      </c>
      <c r="I20" s="412">
        <f t="shared" si="1"/>
        <v>5887.6320000000005</v>
      </c>
      <c r="J20" s="360"/>
      <c r="K20" s="360"/>
      <c r="L20" s="360"/>
      <c r="O20"/>
      <c r="P20"/>
      <c r="Q20"/>
      <c r="R20"/>
      <c r="S20"/>
      <c r="T20"/>
      <c r="U20"/>
      <c r="V20"/>
      <c r="W20"/>
    </row>
    <row r="21" spans="1:23" ht="16" x14ac:dyDescent="0.45">
      <c r="A21" s="61"/>
      <c r="B21" s="411" t="s">
        <v>2565</v>
      </c>
      <c r="C21" s="411">
        <v>43687</v>
      </c>
      <c r="D21" s="412" t="s">
        <v>2465</v>
      </c>
      <c r="E21" s="412" t="s">
        <v>2455</v>
      </c>
      <c r="F21" s="412" t="s">
        <v>2461</v>
      </c>
      <c r="G21" s="412">
        <v>1022.8499999999999</v>
      </c>
      <c r="H21" s="478">
        <f t="shared" si="0"/>
        <v>0.02</v>
      </c>
      <c r="I21" s="412">
        <f t="shared" si="1"/>
        <v>1002.3929999999999</v>
      </c>
      <c r="J21" s="360"/>
      <c r="K21" s="360"/>
      <c r="L21" s="360"/>
      <c r="O21"/>
      <c r="P21"/>
      <c r="Q21"/>
      <c r="R21"/>
      <c r="S21"/>
      <c r="T21"/>
      <c r="U21"/>
      <c r="V21"/>
      <c r="W21"/>
    </row>
    <row r="22" spans="1:23" ht="16" x14ac:dyDescent="0.45">
      <c r="A22" s="61"/>
      <c r="B22" s="411" t="s">
        <v>2566</v>
      </c>
      <c r="C22" s="411">
        <v>43687</v>
      </c>
      <c r="D22" s="412" t="s">
        <v>2460</v>
      </c>
      <c r="E22" s="412" t="s">
        <v>2452</v>
      </c>
      <c r="F22" s="412" t="s">
        <v>2456</v>
      </c>
      <c r="G22" s="412">
        <v>340.95</v>
      </c>
      <c r="H22" s="478">
        <f t="shared" si="0"/>
        <v>0</v>
      </c>
      <c r="I22" s="412">
        <f t="shared" si="1"/>
        <v>340.95</v>
      </c>
      <c r="J22" s="360"/>
      <c r="K22" s="360"/>
      <c r="L22" s="360" t="s">
        <v>14</v>
      </c>
      <c r="M22" s="258" t="s">
        <v>2526</v>
      </c>
      <c r="N22" s="416"/>
      <c r="O22" s="415"/>
      <c r="P22" s="415"/>
      <c r="Q22" s="415"/>
      <c r="R22" s="415"/>
      <c r="S22" s="415"/>
      <c r="T22" s="415"/>
      <c r="U22" s="415"/>
      <c r="V22" s="415"/>
      <c r="W22" s="415"/>
    </row>
    <row r="23" spans="1:23" ht="16" x14ac:dyDescent="0.45">
      <c r="A23" s="61"/>
      <c r="B23" s="411" t="s">
        <v>2567</v>
      </c>
      <c r="C23" s="411">
        <v>43688</v>
      </c>
      <c r="D23" s="412" t="s">
        <v>2454</v>
      </c>
      <c r="E23" s="412" t="s">
        <v>2449</v>
      </c>
      <c r="F23" s="412" t="s">
        <v>2461</v>
      </c>
      <c r="G23" s="412">
        <v>5114.25</v>
      </c>
      <c r="H23" s="478">
        <f t="shared" si="0"/>
        <v>0.08</v>
      </c>
      <c r="I23" s="412">
        <f t="shared" si="1"/>
        <v>4705.1100000000006</v>
      </c>
      <c r="J23" s="360"/>
      <c r="K23" s="360"/>
      <c r="L23" s="360"/>
      <c r="M23" s="360"/>
      <c r="N23"/>
      <c r="O23"/>
      <c r="P23"/>
      <c r="Q23"/>
      <c r="R23"/>
      <c r="S23"/>
      <c r="T23" s="25"/>
      <c r="U23" s="25"/>
      <c r="V23" s="25"/>
      <c r="W23" s="25"/>
    </row>
    <row r="24" spans="1:23" ht="16" x14ac:dyDescent="0.45">
      <c r="A24" s="61"/>
      <c r="B24" s="411" t="s">
        <v>2568</v>
      </c>
      <c r="C24" s="411">
        <v>43688</v>
      </c>
      <c r="D24" s="412" t="s">
        <v>2465</v>
      </c>
      <c r="E24" s="412" t="s">
        <v>2464</v>
      </c>
      <c r="F24" s="412" t="s">
        <v>2450</v>
      </c>
      <c r="G24" s="412">
        <v>11199.300000000001</v>
      </c>
      <c r="H24" s="478">
        <f t="shared" si="0"/>
        <v>0.08</v>
      </c>
      <c r="I24" s="412">
        <f t="shared" si="1"/>
        <v>10303.356000000002</v>
      </c>
      <c r="J24" s="360"/>
      <c r="K24" s="360"/>
      <c r="L24" s="360"/>
      <c r="M24" s="360"/>
      <c r="N24"/>
      <c r="O24"/>
      <c r="P24"/>
      <c r="Q24"/>
      <c r="R24"/>
      <c r="S24"/>
      <c r="T24"/>
      <c r="U24"/>
      <c r="V24"/>
      <c r="W24"/>
    </row>
    <row r="25" spans="1:23" ht="16" x14ac:dyDescent="0.45">
      <c r="A25" s="61"/>
      <c r="B25" s="411" t="s">
        <v>2569</v>
      </c>
      <c r="C25" s="411">
        <v>43688</v>
      </c>
      <c r="D25" s="412" t="s">
        <v>2457</v>
      </c>
      <c r="E25" s="412" t="s">
        <v>2458</v>
      </c>
      <c r="F25" s="412" t="s">
        <v>2456</v>
      </c>
      <c r="G25" s="412">
        <v>2045.6999999999998</v>
      </c>
      <c r="H25" s="478">
        <f t="shared" si="0"/>
        <v>0.03</v>
      </c>
      <c r="I25" s="412">
        <f t="shared" si="1"/>
        <v>1984.3289999999997</v>
      </c>
      <c r="J25" s="360"/>
      <c r="K25" s="360"/>
      <c r="L25" s="360"/>
      <c r="M25" s="407" t="s">
        <v>2550</v>
      </c>
      <c r="N25" s="408"/>
      <c r="O25"/>
      <c r="P25" t="s">
        <v>2585</v>
      </c>
      <c r="Q25"/>
      <c r="R25"/>
      <c r="S25"/>
      <c r="T25"/>
      <c r="U25"/>
      <c r="V25"/>
      <c r="W25"/>
    </row>
    <row r="26" spans="1:23" ht="16" x14ac:dyDescent="0.45">
      <c r="A26" s="61"/>
      <c r="B26" s="411" t="s">
        <v>2570</v>
      </c>
      <c r="C26" s="411">
        <v>43689</v>
      </c>
      <c r="D26" s="412" t="s">
        <v>2454</v>
      </c>
      <c r="E26" s="412" t="s">
        <v>2455</v>
      </c>
      <c r="F26" s="412" t="s">
        <v>2463</v>
      </c>
      <c r="G26" s="412">
        <v>719.91</v>
      </c>
      <c r="H26" s="478">
        <f t="shared" si="0"/>
        <v>0</v>
      </c>
      <c r="I26" s="412">
        <f t="shared" si="1"/>
        <v>719.91</v>
      </c>
      <c r="J26" s="360"/>
      <c r="K26" s="360"/>
      <c r="L26" s="360"/>
      <c r="M26" s="410"/>
      <c r="N26" s="410"/>
      <c r="O26"/>
      <c r="P26" t="s">
        <v>2581</v>
      </c>
      <c r="Q26"/>
      <c r="R26"/>
      <c r="S26"/>
      <c r="T26"/>
      <c r="U26"/>
      <c r="V26"/>
      <c r="W26"/>
    </row>
    <row r="27" spans="1:23" ht="16" x14ac:dyDescent="0.45">
      <c r="A27" s="61"/>
      <c r="B27" s="411" t="s">
        <v>2571</v>
      </c>
      <c r="C27" s="411">
        <v>43689</v>
      </c>
      <c r="D27" s="412" t="s">
        <v>2448</v>
      </c>
      <c r="E27" s="412" t="s">
        <v>2455</v>
      </c>
      <c r="F27" s="412" t="s">
        <v>2461</v>
      </c>
      <c r="G27" s="412">
        <v>2045.6999999999998</v>
      </c>
      <c r="H27" s="478">
        <f t="shared" si="0"/>
        <v>0.03</v>
      </c>
      <c r="I27" s="412">
        <f t="shared" si="1"/>
        <v>1984.3289999999997</v>
      </c>
      <c r="J27" s="360"/>
      <c r="K27" s="360"/>
      <c r="L27" s="360"/>
      <c r="M27" s="418" t="s">
        <v>2531</v>
      </c>
      <c r="N27" s="418" t="s">
        <v>2553</v>
      </c>
      <c r="O27"/>
      <c r="P27"/>
      <c r="Q27"/>
      <c r="R27"/>
      <c r="S27"/>
      <c r="T27"/>
      <c r="U27"/>
      <c r="V27"/>
      <c r="W27"/>
    </row>
    <row r="28" spans="1:23" ht="16" x14ac:dyDescent="0.45">
      <c r="A28" s="61"/>
      <c r="B28" s="411" t="s">
        <v>2572</v>
      </c>
      <c r="C28" s="411">
        <v>43689</v>
      </c>
      <c r="D28" s="412" t="s">
        <v>2457</v>
      </c>
      <c r="E28" s="412" t="s">
        <v>2458</v>
      </c>
      <c r="F28" s="412" t="s">
        <v>2463</v>
      </c>
      <c r="G28" s="412">
        <v>1039.8699999999999</v>
      </c>
      <c r="H28" s="478">
        <f t="shared" si="0"/>
        <v>0.02</v>
      </c>
      <c r="I28" s="412">
        <f t="shared" si="1"/>
        <v>1019.0725999999999</v>
      </c>
      <c r="J28" s="360"/>
      <c r="K28" s="360"/>
      <c r="L28" s="360"/>
      <c r="M28" s="412">
        <v>0</v>
      </c>
      <c r="N28" s="413">
        <v>0</v>
      </c>
      <c r="O28"/>
      <c r="P28"/>
      <c r="Q28"/>
      <c r="R28"/>
      <c r="S28"/>
      <c r="T28"/>
      <c r="U28"/>
      <c r="V28"/>
      <c r="W28"/>
    </row>
    <row r="29" spans="1:23" ht="16" x14ac:dyDescent="0.45">
      <c r="A29" s="61"/>
      <c r="B29" s="411" t="s">
        <v>2573</v>
      </c>
      <c r="C29" s="411">
        <v>43689</v>
      </c>
      <c r="D29" s="412" t="s">
        <v>2460</v>
      </c>
      <c r="E29" s="412" t="s">
        <v>2449</v>
      </c>
      <c r="F29" s="412" t="s">
        <v>2450</v>
      </c>
      <c r="G29" s="412">
        <v>6399.6</v>
      </c>
      <c r="H29" s="478">
        <f t="shared" si="0"/>
        <v>0.08</v>
      </c>
      <c r="I29" s="412">
        <f t="shared" si="1"/>
        <v>5887.6320000000005</v>
      </c>
      <c r="J29" s="360"/>
      <c r="K29" s="360"/>
      <c r="L29" s="360"/>
      <c r="M29" s="412">
        <v>1000</v>
      </c>
      <c r="N29" s="413">
        <v>0.02</v>
      </c>
      <c r="O29"/>
      <c r="P29"/>
      <c r="Q29"/>
      <c r="R29"/>
      <c r="S29"/>
      <c r="T29"/>
      <c r="U29"/>
      <c r="V29"/>
      <c r="W29"/>
    </row>
    <row r="30" spans="1:23" ht="16" x14ac:dyDescent="0.45">
      <c r="A30" s="61"/>
      <c r="B30" s="411" t="s">
        <v>2574</v>
      </c>
      <c r="C30" s="411">
        <v>43690</v>
      </c>
      <c r="D30" s="412" t="s">
        <v>2457</v>
      </c>
      <c r="E30" s="412" t="s">
        <v>2464</v>
      </c>
      <c r="F30" s="412" t="s">
        <v>2450</v>
      </c>
      <c r="G30" s="412">
        <v>5599.6500000000005</v>
      </c>
      <c r="H30" s="478">
        <f t="shared" si="0"/>
        <v>0.08</v>
      </c>
      <c r="I30" s="412">
        <f t="shared" si="1"/>
        <v>5151.6780000000008</v>
      </c>
      <c r="J30" s="360"/>
      <c r="K30"/>
      <c r="L30"/>
      <c r="M30" s="412">
        <v>2000</v>
      </c>
      <c r="N30" s="413">
        <v>0.03</v>
      </c>
      <c r="O30"/>
      <c r="P30"/>
      <c r="Q30"/>
      <c r="R30"/>
      <c r="S30"/>
      <c r="T30"/>
      <c r="U30"/>
      <c r="V30"/>
      <c r="W30"/>
    </row>
    <row r="31" spans="1:23" ht="16" x14ac:dyDescent="0.45">
      <c r="A31" s="61"/>
      <c r="B31" s="411" t="s">
        <v>2575</v>
      </c>
      <c r="C31" s="411">
        <v>43694</v>
      </c>
      <c r="D31" s="412" t="s">
        <v>2448</v>
      </c>
      <c r="E31" s="412" t="s">
        <v>2464</v>
      </c>
      <c r="F31" s="412" t="s">
        <v>2456</v>
      </c>
      <c r="G31" s="412">
        <v>1363.8</v>
      </c>
      <c r="H31" s="478">
        <f t="shared" si="0"/>
        <v>0.02</v>
      </c>
      <c r="I31" s="412">
        <f t="shared" si="1"/>
        <v>1336.5239999999999</v>
      </c>
      <c r="J31"/>
      <c r="K31"/>
      <c r="L31"/>
      <c r="M31" s="412">
        <v>3000</v>
      </c>
      <c r="N31" s="413">
        <v>4.4999999999999998E-2</v>
      </c>
      <c r="O31"/>
      <c r="P31"/>
      <c r="Q31"/>
      <c r="R31"/>
      <c r="S31"/>
      <c r="T31"/>
      <c r="U31"/>
      <c r="V31"/>
      <c r="W31"/>
    </row>
    <row r="32" spans="1:23" ht="16" x14ac:dyDescent="0.45">
      <c r="A32" s="61"/>
      <c r="B32" s="411" t="s">
        <v>2576</v>
      </c>
      <c r="C32" s="411">
        <v>43694</v>
      </c>
      <c r="D32" s="412" t="s">
        <v>2466</v>
      </c>
      <c r="E32" s="412" t="s">
        <v>2452</v>
      </c>
      <c r="F32" s="412" t="s">
        <v>2456</v>
      </c>
      <c r="G32" s="412">
        <v>4432.3499999999995</v>
      </c>
      <c r="H32" s="478">
        <f t="shared" si="0"/>
        <v>0.06</v>
      </c>
      <c r="I32" s="412">
        <f t="shared" si="1"/>
        <v>4166.4089999999997</v>
      </c>
      <c r="J32"/>
      <c r="K32"/>
      <c r="L32"/>
      <c r="M32" s="412">
        <v>4000</v>
      </c>
      <c r="N32" s="413">
        <v>0.06</v>
      </c>
      <c r="O32"/>
      <c r="P32"/>
      <c r="Q32"/>
      <c r="R32"/>
      <c r="S32"/>
      <c r="T32"/>
      <c r="U32"/>
      <c r="V32"/>
      <c r="W32"/>
    </row>
    <row r="33" spans="1:15" ht="16" x14ac:dyDescent="0.45">
      <c r="A33" s="61"/>
      <c r="B33" s="411" t="s">
        <v>2577</v>
      </c>
      <c r="C33" s="411">
        <v>43694</v>
      </c>
      <c r="D33" s="412" t="s">
        <v>2462</v>
      </c>
      <c r="E33" s="412" t="s">
        <v>2464</v>
      </c>
      <c r="F33" s="412" t="s">
        <v>2461</v>
      </c>
      <c r="G33" s="412">
        <v>1704.75</v>
      </c>
      <c r="H33" s="478">
        <f t="shared" si="0"/>
        <v>0.02</v>
      </c>
      <c r="I33" s="412">
        <f t="shared" si="1"/>
        <v>1670.655</v>
      </c>
      <c r="J33"/>
      <c r="K33"/>
      <c r="L33"/>
      <c r="M33" s="412">
        <v>5000</v>
      </c>
      <c r="N33" s="413">
        <v>0.08</v>
      </c>
      <c r="O33"/>
    </row>
    <row r="34" spans="1:15" ht="16" x14ac:dyDescent="0.45">
      <c r="A34" s="61"/>
      <c r="B34" s="466" t="s">
        <v>2578</v>
      </c>
      <c r="C34" s="466">
        <v>43695</v>
      </c>
      <c r="D34" s="467" t="s">
        <v>2467</v>
      </c>
      <c r="E34" s="467" t="s">
        <v>2455</v>
      </c>
      <c r="F34" s="467" t="s">
        <v>2461</v>
      </c>
      <c r="G34" s="467">
        <v>4091.3999999999996</v>
      </c>
      <c r="H34" s="478">
        <f t="shared" si="0"/>
        <v>0.06</v>
      </c>
      <c r="I34" s="467">
        <f t="shared" si="1"/>
        <v>3845.9159999999993</v>
      </c>
      <c r="J34"/>
      <c r="K34"/>
      <c r="L34"/>
      <c r="M34"/>
      <c r="N34"/>
      <c r="O34"/>
    </row>
    <row r="35" spans="1:15" ht="14.5" x14ac:dyDescent="0.35">
      <c r="J35"/>
    </row>
    <row r="36" spans="1:15" ht="14.5" x14ac:dyDescent="0.35">
      <c r="J36"/>
    </row>
  </sheetData>
  <dataValidations count="1">
    <dataValidation type="list" allowBlank="1" showInputMessage="1" showErrorMessage="1" sqref="N12" xr:uid="{7DC13319-C3A2-4426-BE79-426170690267}">
      <formula1>$B$11:$B$34</formula1>
    </dataValidation>
  </dataValidations>
  <pageMargins left="0.7" right="0.7" top="0.75" bottom="0.75" header="0.3" footer="0.3"/>
  <pageSetup orientation="portrait" r:id="rId1"/>
  <drawing r:id="rId2"/>
  <tableParts count="1">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BC9FA-39DE-4079-9948-72A104D0106B}">
  <sheetPr codeName="Sheet39">
    <tabColor rgb="FFC00000"/>
  </sheetPr>
  <dimension ref="A1:Q53"/>
  <sheetViews>
    <sheetView showGridLines="0" topLeftCell="A13" workbookViewId="0">
      <selection activeCell="H26" sqref="H26"/>
    </sheetView>
  </sheetViews>
  <sheetFormatPr defaultColWidth="9.1796875" defaultRowHeight="13" x14ac:dyDescent="0.3"/>
  <cols>
    <col min="1" max="1" width="2" style="356" customWidth="1"/>
    <col min="2" max="2" width="2.26953125" style="356" customWidth="1"/>
    <col min="3" max="6" width="19" style="356" customWidth="1"/>
    <col min="7" max="9" width="11.54296875" style="356" customWidth="1"/>
    <col min="10" max="11" width="13" style="356" customWidth="1"/>
    <col min="12" max="12" width="1.81640625" style="356" bestFit="1" customWidth="1"/>
    <col min="13" max="13" width="17.26953125" style="356" customWidth="1"/>
    <col min="14" max="14" width="16.7265625" style="356" customWidth="1"/>
    <col min="15" max="15" width="6.81640625" style="356" customWidth="1"/>
    <col min="16" max="16384" width="9.1796875" style="356"/>
  </cols>
  <sheetData>
    <row r="1" spans="1:17" ht="16" x14ac:dyDescent="0.45">
      <c r="A1" s="25"/>
      <c r="B1" s="25"/>
      <c r="C1" s="25"/>
    </row>
    <row r="2" spans="1:17" ht="16" x14ac:dyDescent="0.45">
      <c r="A2" s="25"/>
      <c r="B2" s="126"/>
      <c r="C2" s="126"/>
      <c r="D2" s="126"/>
      <c r="E2" s="126"/>
      <c r="F2" s="126"/>
      <c r="G2" s="126"/>
      <c r="H2" s="126"/>
      <c r="I2" s="126"/>
      <c r="J2" s="126"/>
      <c r="K2" s="126"/>
      <c r="L2" s="126"/>
      <c r="M2" s="126"/>
      <c r="N2" s="126"/>
      <c r="O2" s="126"/>
      <c r="P2" s="126"/>
      <c r="Q2" s="126"/>
    </row>
    <row r="3" spans="1:17" ht="16" x14ac:dyDescent="0.45">
      <c r="A3" s="25"/>
      <c r="B3" s="127" t="s">
        <v>326</v>
      </c>
      <c r="C3" s="128"/>
      <c r="D3" s="128"/>
      <c r="E3" s="128"/>
      <c r="F3" s="128"/>
      <c r="G3" s="128"/>
      <c r="H3" s="128"/>
      <c r="I3" s="128"/>
      <c r="J3" s="128"/>
      <c r="K3" s="128"/>
      <c r="L3" s="128"/>
      <c r="M3" s="128"/>
      <c r="N3" s="128"/>
      <c r="O3" s="128"/>
      <c r="P3" s="128"/>
      <c r="Q3" s="128"/>
    </row>
    <row r="4" spans="1:17" ht="16" x14ac:dyDescent="0.45">
      <c r="A4" s="25"/>
      <c r="B4" s="128" t="s">
        <v>364</v>
      </c>
      <c r="C4" s="126"/>
      <c r="D4" s="126"/>
      <c r="E4" s="126"/>
      <c r="F4" s="126"/>
      <c r="G4" s="126"/>
      <c r="H4" s="126"/>
      <c r="I4" s="126"/>
      <c r="J4" s="126"/>
      <c r="K4" s="126"/>
      <c r="L4" s="126"/>
      <c r="M4" s="126"/>
      <c r="N4" s="126"/>
      <c r="O4" s="126"/>
      <c r="P4" s="126"/>
      <c r="Q4" s="126"/>
    </row>
    <row r="6" spans="1:17" ht="14.5" x14ac:dyDescent="0.35">
      <c r="B6"/>
      <c r="C6"/>
      <c r="D6"/>
      <c r="E6"/>
      <c r="F6"/>
      <c r="G6"/>
      <c r="H6"/>
      <c r="I6"/>
      <c r="J6"/>
      <c r="K6"/>
      <c r="L6"/>
      <c r="M6"/>
    </row>
    <row r="7" spans="1:17" ht="14.5" x14ac:dyDescent="0.35">
      <c r="B7"/>
      <c r="C7"/>
      <c r="D7"/>
      <c r="E7"/>
      <c r="F7"/>
      <c r="G7"/>
      <c r="H7"/>
      <c r="I7"/>
      <c r="J7"/>
      <c r="K7"/>
      <c r="L7"/>
      <c r="M7"/>
    </row>
    <row r="8" spans="1:17" ht="15" x14ac:dyDescent="0.4">
      <c r="B8"/>
      <c r="C8"/>
      <c r="D8"/>
      <c r="E8"/>
      <c r="F8"/>
      <c r="G8"/>
      <c r="H8"/>
      <c r="I8" s="437" t="s">
        <v>16</v>
      </c>
      <c r="J8" s="437"/>
      <c r="K8" s="437"/>
      <c r="L8" s="437"/>
      <c r="M8" s="437"/>
      <c r="N8" s="437"/>
      <c r="O8" s="437"/>
    </row>
    <row r="9" spans="1:17" ht="14.5" x14ac:dyDescent="0.35">
      <c r="B9" t="s">
        <v>14</v>
      </c>
      <c r="C9" s="436" t="s">
        <v>2598</v>
      </c>
      <c r="D9" s="436"/>
      <c r="E9" s="436"/>
      <c r="F9" s="436"/>
      <c r="G9"/>
      <c r="H9"/>
      <c r="I9"/>
      <c r="J9"/>
      <c r="K9"/>
      <c r="L9"/>
      <c r="M9"/>
    </row>
    <row r="10" spans="1:17" ht="14.5" x14ac:dyDescent="0.35">
      <c r="B10"/>
      <c r="C10"/>
      <c r="D10"/>
      <c r="E10"/>
      <c r="F10"/>
      <c r="G10"/>
      <c r="H10"/>
      <c r="I10" t="s">
        <v>2643</v>
      </c>
      <c r="J10"/>
      <c r="K10"/>
      <c r="L10"/>
      <c r="M10"/>
    </row>
    <row r="11" spans="1:17" ht="16" x14ac:dyDescent="0.45">
      <c r="B11"/>
      <c r="C11" s="426" t="s">
        <v>2599</v>
      </c>
      <c r="D11" s="426" t="s">
        <v>2600</v>
      </c>
      <c r="E11" s="434" t="s">
        <v>2601</v>
      </c>
      <c r="F11" s="434" t="s">
        <v>2602</v>
      </c>
      <c r="G11"/>
      <c r="H11"/>
      <c r="I11"/>
      <c r="J11"/>
      <c r="K11"/>
      <c r="L11"/>
      <c r="M11"/>
    </row>
    <row r="12" spans="1:17" ht="14.5" x14ac:dyDescent="0.35">
      <c r="B12"/>
      <c r="C12" s="429" t="s">
        <v>2603</v>
      </c>
      <c r="D12" s="433" t="str">
        <f>LEFT(C12,2)</f>
        <v>JV</v>
      </c>
      <c r="E12" s="435" t="str">
        <f>MID(C12,4,4)</f>
        <v>1078</v>
      </c>
      <c r="F12" s="435" t="str">
        <f>RIGHT(C12,3)</f>
        <v>CRE</v>
      </c>
      <c r="G12"/>
      <c r="H12"/>
      <c r="I12"/>
      <c r="J12"/>
      <c r="K12"/>
      <c r="L12"/>
      <c r="M12"/>
    </row>
    <row r="13" spans="1:17" ht="14.5" x14ac:dyDescent="0.35">
      <c r="B13"/>
      <c r="C13" t="s">
        <v>2604</v>
      </c>
      <c r="D13" s="433" t="str">
        <f t="shared" ref="D13:D19" si="0">LEFT(C13,2)</f>
        <v>SD</v>
      </c>
      <c r="E13" s="435" t="str">
        <f t="shared" ref="E13:E19" si="1">MID(C13,4,4)</f>
        <v>1082</v>
      </c>
      <c r="F13" s="435" t="str">
        <f t="shared" ref="F13:F19" si="2">RIGHT(C13,3)</f>
        <v>UKP</v>
      </c>
      <c r="G13"/>
      <c r="H13"/>
      <c r="I13"/>
      <c r="J13"/>
      <c r="K13"/>
      <c r="L13"/>
      <c r="M13"/>
    </row>
    <row r="14" spans="1:17" ht="14.5" x14ac:dyDescent="0.35">
      <c r="B14"/>
      <c r="C14" t="s">
        <v>2605</v>
      </c>
      <c r="D14" s="433" t="str">
        <f t="shared" si="0"/>
        <v>PN</v>
      </c>
      <c r="E14" s="435" t="str">
        <f t="shared" si="1"/>
        <v>1083</v>
      </c>
      <c r="F14" s="435" t="str">
        <f t="shared" si="2"/>
        <v>HAV</v>
      </c>
      <c r="G14"/>
      <c r="H14"/>
      <c r="I14"/>
      <c r="J14"/>
      <c r="K14"/>
      <c r="L14"/>
      <c r="M14"/>
    </row>
    <row r="15" spans="1:17" ht="14.5" x14ac:dyDescent="0.35">
      <c r="B15"/>
      <c r="C15" t="s">
        <v>2606</v>
      </c>
      <c r="D15" s="433" t="str">
        <f t="shared" si="0"/>
        <v>SD</v>
      </c>
      <c r="E15" s="435" t="str">
        <f t="shared" si="1"/>
        <v>1099</v>
      </c>
      <c r="F15" s="435" t="str">
        <f t="shared" si="2"/>
        <v>BOD</v>
      </c>
      <c r="G15"/>
      <c r="H15"/>
      <c r="I15"/>
      <c r="J15"/>
      <c r="K15"/>
      <c r="L15"/>
      <c r="M15"/>
    </row>
    <row r="16" spans="1:17" ht="14.5" x14ac:dyDescent="0.35">
      <c r="B16"/>
      <c r="C16" t="s">
        <v>2607</v>
      </c>
      <c r="D16" s="433" t="str">
        <f t="shared" si="0"/>
        <v>JV</v>
      </c>
      <c r="E16" s="435" t="str">
        <f t="shared" si="1"/>
        <v>1095</v>
      </c>
      <c r="F16" s="435" t="str">
        <f t="shared" si="2"/>
        <v>PDD</v>
      </c>
      <c r="G16"/>
      <c r="H16"/>
      <c r="I16"/>
      <c r="J16"/>
      <c r="K16"/>
      <c r="L16"/>
      <c r="M16"/>
    </row>
    <row r="17" spans="2:13" ht="14.5" x14ac:dyDescent="0.35">
      <c r="B17"/>
      <c r="C17" t="s">
        <v>2608</v>
      </c>
      <c r="D17" s="433" t="str">
        <f t="shared" si="0"/>
        <v>DS</v>
      </c>
      <c r="E17" s="435" t="str">
        <f t="shared" si="1"/>
        <v>1089</v>
      </c>
      <c r="F17" s="435" t="str">
        <f t="shared" si="2"/>
        <v>DOB</v>
      </c>
      <c r="G17"/>
      <c r="H17"/>
      <c r="I17"/>
      <c r="J17"/>
      <c r="K17"/>
      <c r="L17"/>
      <c r="M17"/>
    </row>
    <row r="18" spans="2:13" ht="14.5" x14ac:dyDescent="0.35">
      <c r="B18"/>
      <c r="C18" t="s">
        <v>2609</v>
      </c>
      <c r="D18" s="433" t="str">
        <f t="shared" si="0"/>
        <v>JV</v>
      </c>
      <c r="E18" s="435" t="str">
        <f t="shared" si="1"/>
        <v>1052</v>
      </c>
      <c r="F18" s="435" t="str">
        <f t="shared" si="2"/>
        <v>BOD</v>
      </c>
      <c r="G18"/>
      <c r="H18"/>
      <c r="I18"/>
      <c r="J18"/>
      <c r="K18"/>
      <c r="L18"/>
      <c r="M18"/>
    </row>
    <row r="19" spans="2:13" ht="14.5" x14ac:dyDescent="0.35">
      <c r="B19"/>
      <c r="C19" t="s">
        <v>2610</v>
      </c>
      <c r="D19" s="433" t="str">
        <f t="shared" si="0"/>
        <v>SD</v>
      </c>
      <c r="E19" s="435" t="str">
        <f t="shared" si="1"/>
        <v>1122</v>
      </c>
      <c r="F19" s="435" t="str">
        <f t="shared" si="2"/>
        <v>VAL</v>
      </c>
      <c r="G19"/>
      <c r="H19"/>
      <c r="I19"/>
      <c r="J19"/>
      <c r="K19"/>
      <c r="L19"/>
      <c r="M19"/>
    </row>
    <row r="20" spans="2:13" ht="14.5" x14ac:dyDescent="0.35">
      <c r="B20"/>
      <c r="C20"/>
      <c r="D20"/>
      <c r="E20"/>
      <c r="F20"/>
      <c r="G20"/>
      <c r="H20"/>
      <c r="I20"/>
      <c r="J20"/>
      <c r="K20"/>
      <c r="L20"/>
      <c r="M20"/>
    </row>
    <row r="21" spans="2:13" ht="14.5" x14ac:dyDescent="0.35">
      <c r="B21"/>
      <c r="C21"/>
      <c r="D21"/>
      <c r="E21"/>
      <c r="F21"/>
      <c r="G21"/>
      <c r="H21"/>
      <c r="I21"/>
      <c r="J21"/>
      <c r="K21"/>
      <c r="L21"/>
      <c r="M21"/>
    </row>
    <row r="22" spans="2:13" ht="14.5" x14ac:dyDescent="0.35">
      <c r="B22" t="s">
        <v>14</v>
      </c>
      <c r="C22" s="436" t="s">
        <v>2611</v>
      </c>
      <c r="D22" s="436"/>
      <c r="E22" s="436"/>
      <c r="F22" s="436"/>
      <c r="G22"/>
      <c r="H22"/>
      <c r="I22"/>
      <c r="J22"/>
      <c r="K22"/>
      <c r="L22"/>
      <c r="M22"/>
    </row>
    <row r="23" spans="2:13" ht="14.5" x14ac:dyDescent="0.35">
      <c r="B23"/>
      <c r="C23"/>
      <c r="D23"/>
      <c r="E23"/>
      <c r="F23"/>
      <c r="G23"/>
      <c r="H23"/>
      <c r="I23"/>
      <c r="J23"/>
      <c r="K23"/>
      <c r="L23"/>
      <c r="M23"/>
    </row>
    <row r="24" spans="2:13" ht="16" x14ac:dyDescent="0.45">
      <c r="B24"/>
      <c r="C24" s="426" t="s">
        <v>124</v>
      </c>
      <c r="D24" s="427"/>
      <c r="E24" s="427" t="s">
        <v>2612</v>
      </c>
      <c r="F24" s="427" t="s">
        <v>2613</v>
      </c>
      <c r="G24"/>
      <c r="H24"/>
      <c r="I24"/>
      <c r="J24"/>
      <c r="K24"/>
      <c r="L24"/>
      <c r="M24"/>
    </row>
    <row r="25" spans="2:13" ht="16" x14ac:dyDescent="0.45">
      <c r="B25"/>
      <c r="C25" s="428" t="s">
        <v>2614</v>
      </c>
      <c r="D25" s="429"/>
      <c r="E25" s="433" t="str">
        <f>_xlfn.TEXTBEFORE(C25," ")</f>
        <v>Bernard</v>
      </c>
      <c r="F25" s="433" t="str">
        <f>_xlfn.TEXTAFTER(C25," ")</f>
        <v>Boateng</v>
      </c>
      <c r="G25"/>
      <c r="H25"/>
      <c r="I25"/>
      <c r="J25"/>
      <c r="K25"/>
      <c r="L25"/>
      <c r="M25"/>
    </row>
    <row r="26" spans="2:13" ht="16" x14ac:dyDescent="0.45">
      <c r="B26"/>
      <c r="C26" s="29" t="s">
        <v>2615</v>
      </c>
      <c r="D26"/>
      <c r="E26" s="433" t="str">
        <f t="shared" ref="E26:E35" si="3">_xlfn.TEXTBEFORE(C26," ")</f>
        <v>Osbert</v>
      </c>
      <c r="F26" s="433" t="str">
        <f t="shared" ref="F26:F35" si="4">_xlfn.TEXTAFTER(C26," ")</f>
        <v>Kuwornu</v>
      </c>
      <c r="G26"/>
      <c r="H26"/>
      <c r="I26"/>
      <c r="J26"/>
      <c r="K26"/>
      <c r="L26"/>
      <c r="M26"/>
    </row>
    <row r="27" spans="2:13" ht="16" x14ac:dyDescent="0.45">
      <c r="B27"/>
      <c r="C27" s="29" t="s">
        <v>2616</v>
      </c>
      <c r="D27"/>
      <c r="E27" s="433" t="str">
        <f t="shared" si="3"/>
        <v>Nana</v>
      </c>
      <c r="F27" s="433" t="str">
        <f t="shared" si="4"/>
        <v>Kwame</v>
      </c>
      <c r="G27"/>
      <c r="H27"/>
      <c r="I27"/>
      <c r="J27"/>
      <c r="K27"/>
      <c r="L27"/>
      <c r="M27"/>
    </row>
    <row r="28" spans="2:13" ht="16" x14ac:dyDescent="0.45">
      <c r="B28"/>
      <c r="C28" s="29" t="s">
        <v>2617</v>
      </c>
      <c r="D28"/>
      <c r="E28" s="433" t="str">
        <f t="shared" si="3"/>
        <v>Andrew</v>
      </c>
      <c r="F28" s="433" t="str">
        <f t="shared" si="4"/>
        <v>Tetteh</v>
      </c>
      <c r="G28"/>
      <c r="H28"/>
      <c r="I28"/>
      <c r="J28"/>
      <c r="K28"/>
      <c r="L28"/>
      <c r="M28"/>
    </row>
    <row r="29" spans="2:13" ht="16" x14ac:dyDescent="0.45">
      <c r="B29"/>
      <c r="C29" s="29" t="s">
        <v>2618</v>
      </c>
      <c r="D29"/>
      <c r="E29" s="433" t="str">
        <f t="shared" si="3"/>
        <v>Stephen</v>
      </c>
      <c r="F29" s="433" t="str">
        <f t="shared" si="4"/>
        <v>Ofori</v>
      </c>
      <c r="G29"/>
      <c r="H29"/>
      <c r="I29"/>
      <c r="J29"/>
      <c r="K29"/>
      <c r="L29"/>
      <c r="M29"/>
    </row>
    <row r="30" spans="2:13" ht="16" x14ac:dyDescent="0.45">
      <c r="B30"/>
      <c r="C30" s="29" t="s">
        <v>2619</v>
      </c>
      <c r="D30"/>
      <c r="E30" s="433" t="str">
        <f t="shared" si="3"/>
        <v>Ernest</v>
      </c>
      <c r="F30" s="433" t="str">
        <f t="shared" si="4"/>
        <v>Aboagye</v>
      </c>
      <c r="G30"/>
      <c r="H30"/>
      <c r="I30"/>
      <c r="J30"/>
      <c r="K30"/>
      <c r="L30"/>
      <c r="M30"/>
    </row>
    <row r="31" spans="2:13" ht="16" x14ac:dyDescent="0.45">
      <c r="B31"/>
      <c r="C31" s="29" t="s">
        <v>2620</v>
      </c>
      <c r="D31"/>
      <c r="E31" s="433" t="str">
        <f t="shared" si="3"/>
        <v>Maureen</v>
      </c>
      <c r="F31" s="433" t="str">
        <f t="shared" si="4"/>
        <v>Adoma</v>
      </c>
      <c r="G31"/>
      <c r="H31"/>
      <c r="I31"/>
      <c r="J31"/>
      <c r="K31"/>
      <c r="L31"/>
      <c r="M31"/>
    </row>
    <row r="32" spans="2:13" ht="16" x14ac:dyDescent="0.45">
      <c r="B32"/>
      <c r="C32" s="29" t="s">
        <v>2621</v>
      </c>
      <c r="D32"/>
      <c r="E32" s="433" t="str">
        <f t="shared" si="3"/>
        <v>Mercy</v>
      </c>
      <c r="F32" s="433" t="str">
        <f t="shared" si="4"/>
        <v>Mensah</v>
      </c>
      <c r="G32"/>
      <c r="H32"/>
      <c r="I32"/>
      <c r="J32"/>
      <c r="K32"/>
      <c r="L32"/>
      <c r="M32"/>
    </row>
    <row r="33" spans="2:13" ht="16" x14ac:dyDescent="0.45">
      <c r="B33"/>
      <c r="C33" s="29" t="s">
        <v>2622</v>
      </c>
      <c r="D33"/>
      <c r="E33" s="433" t="str">
        <f t="shared" si="3"/>
        <v>Dennis</v>
      </c>
      <c r="F33" s="433" t="str">
        <f t="shared" si="4"/>
        <v>Ababio</v>
      </c>
      <c r="G33"/>
      <c r="H33"/>
      <c r="I33"/>
      <c r="J33"/>
      <c r="K33"/>
      <c r="L33"/>
      <c r="M33"/>
    </row>
    <row r="34" spans="2:13" ht="16" x14ac:dyDescent="0.45">
      <c r="B34"/>
      <c r="C34" s="29" t="s">
        <v>2623</v>
      </c>
      <c r="D34"/>
      <c r="E34" s="433" t="str">
        <f t="shared" si="3"/>
        <v>Paul</v>
      </c>
      <c r="F34" s="433" t="str">
        <f t="shared" si="4"/>
        <v>Afriyie</v>
      </c>
      <c r="G34"/>
      <c r="H34"/>
      <c r="I34"/>
      <c r="J34"/>
      <c r="K34"/>
      <c r="L34"/>
      <c r="M34"/>
    </row>
    <row r="35" spans="2:13" ht="16" x14ac:dyDescent="0.45">
      <c r="B35"/>
      <c r="C35" s="29" t="s">
        <v>2624</v>
      </c>
      <c r="D35"/>
      <c r="E35" s="433" t="str">
        <f t="shared" si="3"/>
        <v>Marvin</v>
      </c>
      <c r="F35" s="433" t="str">
        <f t="shared" si="4"/>
        <v>Sarfo</v>
      </c>
      <c r="G35"/>
      <c r="H35"/>
      <c r="I35"/>
      <c r="J35"/>
      <c r="K35"/>
      <c r="L35"/>
      <c r="M35"/>
    </row>
    <row r="36" spans="2:13" ht="16" x14ac:dyDescent="0.45">
      <c r="B36"/>
      <c r="C36" s="29"/>
      <c r="D36" s="29"/>
      <c r="E36"/>
      <c r="F36"/>
      <c r="G36"/>
      <c r="H36"/>
      <c r="I36"/>
      <c r="J36"/>
      <c r="K36"/>
      <c r="L36"/>
      <c r="M36"/>
    </row>
    <row r="37" spans="2:13" ht="16" x14ac:dyDescent="0.45">
      <c r="B37"/>
      <c r="C37" s="29"/>
      <c r="D37" s="29"/>
      <c r="E37"/>
      <c r="F37"/>
      <c r="G37"/>
      <c r="H37"/>
      <c r="I37"/>
      <c r="J37"/>
      <c r="K37"/>
      <c r="L37"/>
      <c r="M37"/>
    </row>
    <row r="38" spans="2:13" ht="14.5" x14ac:dyDescent="0.35">
      <c r="B38" t="s">
        <v>14</v>
      </c>
      <c r="C38" s="436" t="s">
        <v>2644</v>
      </c>
      <c r="D38" s="436"/>
      <c r="E38" s="436"/>
      <c r="F38" s="436"/>
      <c r="G38"/>
      <c r="H38"/>
      <c r="I38"/>
      <c r="J38"/>
      <c r="K38"/>
      <c r="L38"/>
      <c r="M38"/>
    </row>
    <row r="39" spans="2:13" ht="14.5" x14ac:dyDescent="0.35">
      <c r="B39"/>
      <c r="C39"/>
      <c r="D39"/>
      <c r="E39"/>
      <c r="F39"/>
      <c r="G39"/>
      <c r="H39"/>
      <c r="I39"/>
      <c r="J39"/>
      <c r="K39"/>
      <c r="L39"/>
      <c r="M39"/>
    </row>
    <row r="40" spans="2:13" ht="16" x14ac:dyDescent="0.45">
      <c r="B40"/>
      <c r="C40" s="426" t="s">
        <v>2612</v>
      </c>
      <c r="D40" s="427" t="s">
        <v>2613</v>
      </c>
      <c r="E40" s="427"/>
      <c r="F40" s="427" t="s">
        <v>124</v>
      </c>
      <c r="G40"/>
      <c r="H40"/>
      <c r="I40"/>
      <c r="J40"/>
      <c r="K40"/>
      <c r="L40"/>
      <c r="M40"/>
    </row>
    <row r="41" spans="2:13" ht="16" x14ac:dyDescent="0.45">
      <c r="B41"/>
      <c r="C41" s="428" t="s">
        <v>2625</v>
      </c>
      <c r="D41" s="429" t="s">
        <v>2626</v>
      </c>
      <c r="E41" s="430"/>
      <c r="F41" s="432" t="str">
        <f>CONCATENATE(C41," ",D41)</f>
        <v>Bernard Boateng</v>
      </c>
      <c r="G41"/>
      <c r="H41"/>
      <c r="I41"/>
      <c r="J41"/>
      <c r="K41"/>
      <c r="L41"/>
      <c r="M41"/>
    </row>
    <row r="42" spans="2:13" ht="16" x14ac:dyDescent="0.45">
      <c r="B42"/>
      <c r="C42" s="29" t="s">
        <v>2627</v>
      </c>
      <c r="D42" t="s">
        <v>2628</v>
      </c>
      <c r="E42" s="431"/>
      <c r="F42" s="432" t="str">
        <f t="shared" ref="F42:F51" si="5">CONCATENATE(C42," ",D42)</f>
        <v>Osbert Kuwornu</v>
      </c>
      <c r="G42"/>
      <c r="H42"/>
      <c r="I42"/>
      <c r="J42"/>
      <c r="K42"/>
      <c r="L42"/>
      <c r="M42"/>
    </row>
    <row r="43" spans="2:13" ht="16" x14ac:dyDescent="0.45">
      <c r="B43"/>
      <c r="C43" s="29" t="s">
        <v>2629</v>
      </c>
      <c r="D43" t="s">
        <v>2630</v>
      </c>
      <c r="E43" s="431"/>
      <c r="F43" s="432" t="str">
        <f t="shared" si="5"/>
        <v>Nana Dadzie</v>
      </c>
      <c r="G43"/>
      <c r="H43"/>
      <c r="I43"/>
      <c r="J43"/>
      <c r="K43"/>
      <c r="L43"/>
      <c r="M43"/>
    </row>
    <row r="44" spans="2:13" ht="16" x14ac:dyDescent="0.45">
      <c r="B44"/>
      <c r="C44" s="29" t="s">
        <v>2631</v>
      </c>
      <c r="D44" t="s">
        <v>2632</v>
      </c>
      <c r="E44" s="431"/>
      <c r="F44" s="432" t="str">
        <f t="shared" si="5"/>
        <v>Andrew Tetteh</v>
      </c>
      <c r="G44"/>
      <c r="H44"/>
      <c r="I44"/>
      <c r="J44"/>
      <c r="K44"/>
      <c r="L44"/>
      <c r="M44"/>
    </row>
    <row r="45" spans="2:13" ht="16" x14ac:dyDescent="0.45">
      <c r="B45"/>
      <c r="C45" s="29" t="s">
        <v>2521</v>
      </c>
      <c r="D45" t="s">
        <v>2633</v>
      </c>
      <c r="E45" s="431"/>
      <c r="F45" s="432" t="str">
        <f t="shared" si="5"/>
        <v>Stephen Okai</v>
      </c>
      <c r="G45"/>
      <c r="H45"/>
      <c r="I45"/>
      <c r="J45"/>
      <c r="K45"/>
      <c r="L45"/>
      <c r="M45"/>
    </row>
    <row r="46" spans="2:13" ht="16" x14ac:dyDescent="0.45">
      <c r="B46"/>
      <c r="C46" s="29" t="s">
        <v>2634</v>
      </c>
      <c r="D46" t="s">
        <v>2635</v>
      </c>
      <c r="E46" s="431"/>
      <c r="F46" s="432" t="str">
        <f t="shared" si="5"/>
        <v>Ernest Aboagye</v>
      </c>
      <c r="G46"/>
      <c r="H46"/>
      <c r="I46"/>
      <c r="J46"/>
      <c r="K46"/>
      <c r="L46"/>
      <c r="M46"/>
    </row>
    <row r="47" spans="2:13" ht="16" x14ac:dyDescent="0.45">
      <c r="B47"/>
      <c r="C47" s="29" t="s">
        <v>2636</v>
      </c>
      <c r="D47" t="s">
        <v>2520</v>
      </c>
      <c r="E47" s="431"/>
      <c r="F47" s="432" t="str">
        <f t="shared" si="5"/>
        <v>Maureen Mireku</v>
      </c>
      <c r="G47"/>
      <c r="H47"/>
      <c r="I47"/>
      <c r="J47"/>
      <c r="K47"/>
      <c r="L47"/>
      <c r="M47"/>
    </row>
    <row r="48" spans="2:13" ht="16" x14ac:dyDescent="0.45">
      <c r="B48"/>
      <c r="C48" s="29" t="s">
        <v>2637</v>
      </c>
      <c r="D48" t="s">
        <v>2638</v>
      </c>
      <c r="E48" s="431"/>
      <c r="F48" s="432" t="str">
        <f t="shared" si="5"/>
        <v>Mercy Matornawo</v>
      </c>
      <c r="G48"/>
      <c r="H48"/>
      <c r="I48"/>
      <c r="J48"/>
      <c r="K48"/>
      <c r="L48"/>
      <c r="M48"/>
    </row>
    <row r="49" spans="2:13" ht="16" x14ac:dyDescent="0.45">
      <c r="B49"/>
      <c r="C49" s="29" t="s">
        <v>2514</v>
      </c>
      <c r="D49" t="s">
        <v>2518</v>
      </c>
      <c r="E49" s="431"/>
      <c r="F49" s="432" t="str">
        <f t="shared" si="5"/>
        <v>Dennis Ababio</v>
      </c>
      <c r="G49"/>
      <c r="H49"/>
      <c r="I49"/>
      <c r="J49"/>
      <c r="K49"/>
      <c r="L49"/>
      <c r="M49"/>
    </row>
    <row r="50" spans="2:13" ht="16" x14ac:dyDescent="0.45">
      <c r="B50"/>
      <c r="C50" s="29" t="s">
        <v>2639</v>
      </c>
      <c r="D50" t="s">
        <v>2640</v>
      </c>
      <c r="E50" s="431"/>
      <c r="F50" s="432" t="str">
        <f t="shared" si="5"/>
        <v>Paul Quansah</v>
      </c>
      <c r="G50"/>
      <c r="H50"/>
      <c r="I50"/>
      <c r="J50"/>
      <c r="K50"/>
      <c r="L50"/>
      <c r="M50"/>
    </row>
    <row r="51" spans="2:13" ht="16" x14ac:dyDescent="0.45">
      <c r="B51"/>
      <c r="C51" s="29" t="s">
        <v>2641</v>
      </c>
      <c r="D51" t="s">
        <v>2642</v>
      </c>
      <c r="E51" s="431"/>
      <c r="F51" s="432" t="str">
        <f t="shared" si="5"/>
        <v>Marvin Sarfo</v>
      </c>
      <c r="G51"/>
      <c r="H51"/>
      <c r="I51"/>
      <c r="J51"/>
      <c r="K51"/>
      <c r="L51"/>
      <c r="M51"/>
    </row>
    <row r="52" spans="2:13" ht="14.5" x14ac:dyDescent="0.35">
      <c r="B52"/>
      <c r="C52"/>
      <c r="D52"/>
      <c r="E52"/>
      <c r="F52"/>
      <c r="G52"/>
      <c r="H52"/>
      <c r="I52"/>
      <c r="J52"/>
      <c r="K52"/>
      <c r="L52"/>
      <c r="M52"/>
    </row>
    <row r="53" spans="2:13" ht="14.5" x14ac:dyDescent="0.35">
      <c r="B53"/>
      <c r="C53"/>
      <c r="D53"/>
      <c r="E53"/>
      <c r="F53"/>
      <c r="G53"/>
      <c r="H53"/>
      <c r="I53"/>
      <c r="J53"/>
      <c r="K53"/>
      <c r="L53"/>
      <c r="M53"/>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727A8-BA1A-4CD7-A487-BCA9AC5970F9}">
  <sheetPr codeName="Sheet37"/>
  <dimension ref="A1:Z32"/>
  <sheetViews>
    <sheetView showGridLines="0" topLeftCell="A8" zoomScaleNormal="100" workbookViewId="0"/>
  </sheetViews>
  <sheetFormatPr defaultColWidth="8.7265625" defaultRowHeight="14" x14ac:dyDescent="0.4"/>
  <cols>
    <col min="1" max="1" width="2.453125" style="20" customWidth="1"/>
    <col min="2" max="2" width="3.7265625" style="20" customWidth="1"/>
    <col min="3" max="4" width="11.7265625" style="20" customWidth="1"/>
    <col min="5" max="6" width="3.7265625" style="20" customWidth="1"/>
    <col min="7" max="8" width="11.7265625" style="20" customWidth="1"/>
    <col min="9" max="10" width="3.7265625" style="20" customWidth="1"/>
    <col min="11" max="12" width="11.7265625" style="20" customWidth="1"/>
    <col min="13" max="14" width="3.7265625" style="20" customWidth="1"/>
    <col min="15" max="16" width="11.7265625" style="20" customWidth="1"/>
    <col min="17" max="18" width="3.7265625" style="20" customWidth="1"/>
    <col min="19" max="20" width="11.7265625" style="20" customWidth="1"/>
    <col min="21" max="22" width="3.7265625" style="20" customWidth="1"/>
    <col min="23" max="24" width="11.7265625" style="20" customWidth="1"/>
    <col min="25" max="26" width="3.7265625" style="20" customWidth="1"/>
    <col min="27" max="16384" width="8.7265625" style="123"/>
  </cols>
  <sheetData>
    <row r="1" spans="1:26" x14ac:dyDescent="0.4">
      <c r="A1" s="6"/>
      <c r="B1" s="6"/>
      <c r="C1" s="6"/>
      <c r="D1" s="19"/>
      <c r="E1" s="6"/>
      <c r="F1" s="6"/>
      <c r="G1" s="6"/>
      <c r="H1" s="19"/>
      <c r="I1" s="6"/>
      <c r="J1" s="6"/>
      <c r="K1" s="6"/>
      <c r="L1" s="19"/>
      <c r="M1" s="6"/>
      <c r="N1" s="6"/>
      <c r="O1" s="6"/>
      <c r="P1" s="19"/>
      <c r="Q1" s="6"/>
      <c r="R1" s="6"/>
      <c r="S1" s="6"/>
      <c r="T1" s="19"/>
      <c r="U1" s="6"/>
      <c r="V1" s="6"/>
      <c r="W1" s="6"/>
      <c r="X1" s="19"/>
      <c r="Y1" s="6"/>
      <c r="Z1" s="6"/>
    </row>
    <row r="2" spans="1:26" ht="26" x14ac:dyDescent="0.65">
      <c r="A2" s="6"/>
      <c r="B2" s="7" t="str">
        <f>Cover!$C$8</f>
        <v>Microsoft Excel Training</v>
      </c>
      <c r="C2" s="6"/>
      <c r="D2" s="19"/>
      <c r="E2" s="6"/>
      <c r="F2" s="7"/>
      <c r="G2" s="6"/>
      <c r="H2" s="19"/>
      <c r="I2" s="6"/>
      <c r="J2" s="7"/>
      <c r="K2" s="6"/>
      <c r="L2" s="19"/>
      <c r="M2" s="6"/>
      <c r="N2" s="7"/>
      <c r="O2" s="6"/>
      <c r="P2" s="19"/>
      <c r="Q2" s="6"/>
      <c r="R2" s="7"/>
      <c r="S2" s="6"/>
      <c r="T2" s="19"/>
      <c r="U2" s="6"/>
      <c r="V2" s="7"/>
      <c r="W2" s="6"/>
      <c r="X2" s="19"/>
      <c r="Y2" s="6"/>
      <c r="Z2" s="6"/>
    </row>
    <row r="3" spans="1:26" x14ac:dyDescent="0.4">
      <c r="A3" s="6"/>
      <c r="B3" s="6"/>
      <c r="C3" s="6"/>
      <c r="D3" s="19"/>
      <c r="E3" s="6"/>
      <c r="F3" s="6"/>
      <c r="G3" s="6"/>
      <c r="H3" s="19"/>
      <c r="I3" s="6"/>
      <c r="J3" s="6"/>
      <c r="K3" s="6"/>
      <c r="L3" s="19"/>
      <c r="M3" s="6"/>
      <c r="N3" s="6"/>
      <c r="O3" s="6"/>
      <c r="P3" s="19"/>
      <c r="Q3" s="6"/>
      <c r="R3" s="6"/>
      <c r="S3" s="6"/>
      <c r="T3" s="19"/>
      <c r="U3" s="6"/>
      <c r="V3" s="6"/>
      <c r="W3" s="6"/>
      <c r="X3" s="19"/>
      <c r="Y3" s="6"/>
      <c r="Z3" s="6"/>
    </row>
    <row r="4" spans="1:26" x14ac:dyDescent="0.4">
      <c r="A4" s="8"/>
      <c r="B4" s="8"/>
      <c r="C4" s="8"/>
      <c r="D4" s="8"/>
      <c r="E4" s="8"/>
      <c r="F4" s="8"/>
      <c r="G4" s="8"/>
      <c r="H4" s="8"/>
      <c r="I4" s="8"/>
      <c r="J4" s="8"/>
      <c r="K4" s="8"/>
      <c r="L4" s="8"/>
      <c r="M4" s="8"/>
      <c r="N4" s="8"/>
      <c r="O4" s="8"/>
      <c r="P4" s="8"/>
      <c r="Q4" s="8"/>
      <c r="R4" s="8"/>
      <c r="S4" s="8"/>
      <c r="T4" s="8"/>
      <c r="U4" s="8"/>
      <c r="V4" s="8"/>
      <c r="W4" s="8"/>
      <c r="X4" s="8"/>
      <c r="Y4" s="8"/>
      <c r="Z4" s="8"/>
    </row>
    <row r="5" spans="1:26" ht="16.5" x14ac:dyDescent="0.45">
      <c r="A5" s="8"/>
      <c r="B5" s="9" t="s">
        <v>382</v>
      </c>
      <c r="C5" s="10"/>
      <c r="D5" s="10"/>
      <c r="E5" s="10"/>
      <c r="F5" s="9"/>
      <c r="G5" s="10"/>
      <c r="H5" s="10"/>
      <c r="I5" s="10"/>
      <c r="J5" s="9"/>
      <c r="K5" s="10"/>
      <c r="L5" s="10"/>
      <c r="M5" s="10"/>
      <c r="N5" s="9"/>
      <c r="O5" s="10"/>
      <c r="P5" s="10"/>
      <c r="Q5" s="10"/>
      <c r="R5" s="9"/>
      <c r="S5" s="10"/>
      <c r="T5" s="10"/>
      <c r="U5" s="10"/>
      <c r="V5" s="9"/>
      <c r="W5" s="10"/>
      <c r="X5" s="10"/>
      <c r="Y5" s="10"/>
      <c r="Z5" s="10"/>
    </row>
    <row r="6" spans="1:26" ht="3.75" customHeight="1" x14ac:dyDescent="0.4">
      <c r="A6" s="8"/>
      <c r="B6" s="8"/>
      <c r="C6" s="8"/>
      <c r="D6" s="8"/>
      <c r="E6" s="8"/>
      <c r="F6" s="8"/>
      <c r="G6" s="8"/>
      <c r="H6" s="8"/>
      <c r="I6" s="8"/>
      <c r="J6" s="8"/>
      <c r="K6" s="8"/>
      <c r="L6" s="8"/>
      <c r="M6" s="8"/>
      <c r="N6" s="8"/>
      <c r="O6" s="8"/>
      <c r="P6" s="8"/>
      <c r="Q6" s="8"/>
      <c r="R6" s="8"/>
      <c r="S6" s="8"/>
      <c r="T6" s="8"/>
      <c r="U6" s="8"/>
      <c r="V6" s="8"/>
      <c r="W6" s="8"/>
      <c r="X6" s="8"/>
      <c r="Y6" s="8"/>
      <c r="Z6" s="8"/>
    </row>
    <row r="7" spans="1:26" s="443" customFormat="1" ht="27" customHeight="1" x14ac:dyDescent="0.35">
      <c r="A7" s="441"/>
      <c r="B7" s="501" t="s">
        <v>2693</v>
      </c>
      <c r="C7" s="501"/>
      <c r="D7" s="501"/>
      <c r="E7" s="442"/>
      <c r="F7" s="501" t="s">
        <v>2694</v>
      </c>
      <c r="G7" s="501"/>
      <c r="H7" s="501"/>
      <c r="I7" s="442"/>
      <c r="J7" s="501" t="s">
        <v>2695</v>
      </c>
      <c r="K7" s="501"/>
      <c r="L7" s="501"/>
      <c r="M7" s="442"/>
      <c r="N7" s="501" t="s">
        <v>2697</v>
      </c>
      <c r="O7" s="501"/>
      <c r="P7" s="501"/>
      <c r="Q7" s="442"/>
      <c r="R7" s="501" t="s">
        <v>2696</v>
      </c>
      <c r="S7" s="501"/>
      <c r="T7" s="501"/>
      <c r="U7" s="442"/>
      <c r="V7" s="501"/>
      <c r="W7" s="501"/>
      <c r="X7" s="501"/>
      <c r="Y7" s="442"/>
      <c r="Z7" s="442"/>
    </row>
    <row r="8" spans="1:26" ht="16" x14ac:dyDescent="0.45">
      <c r="A8" s="8"/>
      <c r="B8" s="8"/>
      <c r="C8" s="114"/>
      <c r="D8" s="114"/>
      <c r="E8" s="114"/>
      <c r="F8" s="8"/>
      <c r="G8" s="114"/>
      <c r="H8" s="114"/>
      <c r="I8" s="114"/>
      <c r="J8" s="8"/>
      <c r="K8" s="114"/>
      <c r="L8" s="114"/>
      <c r="M8" s="114"/>
      <c r="N8" s="8"/>
      <c r="O8" s="114"/>
      <c r="P8" s="114"/>
      <c r="Q8" s="114"/>
      <c r="R8" s="8"/>
      <c r="S8" s="114"/>
      <c r="T8" s="114"/>
      <c r="U8" s="114"/>
      <c r="V8" s="8"/>
      <c r="W8" s="114"/>
      <c r="X8" s="114"/>
      <c r="Y8" s="114"/>
      <c r="Z8" s="114"/>
    </row>
    <row r="9" spans="1:26" ht="16" x14ac:dyDescent="0.45">
      <c r="A9" s="8"/>
      <c r="B9" s="8"/>
      <c r="C9" s="114"/>
      <c r="D9" s="114"/>
      <c r="E9" s="114"/>
      <c r="F9" s="8"/>
      <c r="G9" s="114"/>
      <c r="H9" s="114"/>
      <c r="I9" s="114"/>
      <c r="J9" s="8"/>
      <c r="K9" s="114"/>
      <c r="L9" s="114"/>
      <c r="M9" s="114"/>
      <c r="N9" s="8"/>
      <c r="O9" s="114"/>
      <c r="P9" s="114"/>
      <c r="Q9" s="114"/>
      <c r="R9" s="8"/>
      <c r="S9" s="114"/>
      <c r="T9" s="114"/>
      <c r="U9" s="114"/>
      <c r="V9" s="8"/>
      <c r="W9" s="114"/>
      <c r="X9" s="114"/>
      <c r="Y9" s="114"/>
      <c r="Z9" s="114"/>
    </row>
    <row r="10" spans="1:26" ht="16" x14ac:dyDescent="0.45">
      <c r="A10" s="8"/>
      <c r="B10" s="8"/>
      <c r="C10" s="114"/>
      <c r="D10" s="114"/>
      <c r="E10" s="114"/>
      <c r="F10" s="8"/>
      <c r="G10" s="114"/>
      <c r="H10" s="114"/>
      <c r="I10" s="114"/>
      <c r="J10" s="8"/>
      <c r="K10" s="114"/>
      <c r="L10" s="114"/>
      <c r="M10" s="114"/>
      <c r="N10" s="8"/>
      <c r="O10" s="114"/>
      <c r="P10" s="114"/>
      <c r="Q10" s="114"/>
      <c r="R10" s="8"/>
      <c r="S10" s="114"/>
      <c r="T10" s="114"/>
      <c r="U10" s="114"/>
      <c r="V10" s="8"/>
      <c r="W10" s="114"/>
      <c r="X10" s="114"/>
      <c r="Y10" s="114"/>
      <c r="Z10" s="114"/>
    </row>
    <row r="11" spans="1:26" ht="16" x14ac:dyDescent="0.45">
      <c r="A11" s="8"/>
      <c r="B11" s="8"/>
      <c r="C11" s="114"/>
      <c r="D11" s="114"/>
      <c r="E11" s="114"/>
      <c r="F11" s="8"/>
      <c r="G11" s="114"/>
      <c r="H11" s="114"/>
      <c r="I11" s="114"/>
      <c r="J11" s="8"/>
      <c r="K11" s="114"/>
      <c r="L11" s="114"/>
      <c r="M11" s="114"/>
      <c r="N11" s="8"/>
      <c r="O11" s="114"/>
      <c r="P11" s="114"/>
      <c r="Q11" s="114"/>
      <c r="R11" s="8"/>
      <c r="S11" s="114"/>
      <c r="T11" s="114"/>
      <c r="U11" s="114"/>
      <c r="V11" s="8"/>
      <c r="W11" s="114"/>
      <c r="X11" s="114"/>
      <c r="Y11" s="114"/>
      <c r="Z11" s="114"/>
    </row>
    <row r="12" spans="1:26" ht="16" x14ac:dyDescent="0.45">
      <c r="A12" s="8"/>
      <c r="B12" s="8"/>
      <c r="C12" s="114"/>
      <c r="D12" s="114"/>
      <c r="E12" s="114"/>
      <c r="F12" s="8"/>
      <c r="G12" s="114"/>
      <c r="H12" s="114"/>
      <c r="I12" s="114"/>
      <c r="J12" s="8"/>
      <c r="K12" s="114"/>
      <c r="L12" s="114"/>
      <c r="M12" s="114"/>
      <c r="N12" s="8"/>
      <c r="O12" s="114"/>
      <c r="P12" s="114"/>
      <c r="Q12" s="114"/>
      <c r="R12" s="8"/>
      <c r="S12" s="114"/>
      <c r="T12" s="114"/>
      <c r="U12" s="114"/>
      <c r="V12" s="8"/>
      <c r="W12" s="114"/>
      <c r="X12" s="114"/>
      <c r="Y12" s="114"/>
      <c r="Z12" s="114"/>
    </row>
    <row r="13" spans="1:26" ht="16" x14ac:dyDescent="0.45">
      <c r="A13" s="8"/>
      <c r="B13" s="8"/>
      <c r="C13" s="114"/>
      <c r="D13" s="114"/>
      <c r="E13" s="114"/>
      <c r="F13" s="8"/>
      <c r="G13" s="114"/>
      <c r="H13" s="114"/>
      <c r="I13" s="114"/>
      <c r="J13" s="8"/>
      <c r="K13" s="114"/>
      <c r="L13" s="114"/>
      <c r="M13" s="114"/>
      <c r="N13" s="8"/>
      <c r="O13" s="114"/>
      <c r="P13" s="114"/>
      <c r="Q13" s="114"/>
      <c r="R13" s="8"/>
      <c r="S13" s="114"/>
      <c r="T13" s="114"/>
      <c r="U13" s="114"/>
      <c r="V13" s="8"/>
      <c r="W13" s="114"/>
      <c r="X13" s="114"/>
      <c r="Y13" s="114"/>
      <c r="Z13" s="114"/>
    </row>
    <row r="14" spans="1:26" ht="16" x14ac:dyDescent="0.45">
      <c r="A14" s="8"/>
      <c r="B14" s="8"/>
      <c r="C14" s="114"/>
      <c r="D14" s="114"/>
      <c r="E14" s="114"/>
      <c r="F14" s="8"/>
      <c r="G14" s="114"/>
      <c r="H14" s="114"/>
      <c r="I14" s="114"/>
      <c r="J14" s="8"/>
      <c r="K14" s="114"/>
      <c r="L14" s="114"/>
      <c r="M14" s="114"/>
      <c r="N14" s="8"/>
      <c r="O14" s="114"/>
      <c r="P14" s="114"/>
      <c r="Q14" s="114"/>
      <c r="R14" s="8"/>
      <c r="S14" s="114"/>
      <c r="T14" s="114"/>
      <c r="U14" s="114"/>
      <c r="V14" s="8"/>
      <c r="W14" s="114"/>
      <c r="X14" s="114"/>
      <c r="Y14" s="114"/>
      <c r="Z14" s="114"/>
    </row>
    <row r="15" spans="1:26" ht="16" x14ac:dyDescent="0.45">
      <c r="A15" s="8"/>
      <c r="B15" s="8"/>
      <c r="C15" s="114"/>
      <c r="D15" s="114"/>
      <c r="E15" s="114"/>
      <c r="F15" s="8"/>
      <c r="G15" s="114"/>
      <c r="H15" s="114"/>
      <c r="I15" s="114"/>
      <c r="J15" s="8"/>
      <c r="K15" s="114"/>
      <c r="L15" s="114"/>
      <c r="M15" s="114"/>
      <c r="N15" s="8"/>
      <c r="O15" s="114"/>
      <c r="P15" s="114"/>
      <c r="Q15" s="114"/>
      <c r="R15" s="8"/>
      <c r="S15" s="114"/>
      <c r="T15" s="114"/>
      <c r="U15" s="114"/>
      <c r="V15" s="8"/>
      <c r="W15" s="114"/>
      <c r="X15" s="114"/>
      <c r="Y15" s="114"/>
      <c r="Z15" s="114"/>
    </row>
    <row r="16" spans="1:26" ht="7.5" customHeight="1" x14ac:dyDescent="0.45">
      <c r="A16" s="8"/>
      <c r="B16" s="8"/>
      <c r="C16" s="114"/>
      <c r="D16" s="114"/>
      <c r="E16" s="114"/>
      <c r="F16" s="8"/>
      <c r="G16" s="114"/>
      <c r="H16" s="114"/>
      <c r="I16" s="114"/>
      <c r="J16" s="8"/>
      <c r="K16" s="114"/>
      <c r="L16" s="114"/>
      <c r="M16" s="114"/>
      <c r="N16" s="8"/>
      <c r="O16" s="114"/>
      <c r="P16" s="114"/>
      <c r="Q16" s="114"/>
      <c r="R16" s="8"/>
      <c r="S16" s="114"/>
      <c r="T16" s="114"/>
      <c r="U16" s="114"/>
      <c r="V16" s="8"/>
      <c r="W16" s="114"/>
      <c r="X16" s="114"/>
      <c r="Y16" s="114"/>
      <c r="Z16" s="114"/>
    </row>
    <row r="17" spans="1:26" s="443" customFormat="1" ht="27" customHeight="1" x14ac:dyDescent="0.35">
      <c r="A17" s="441"/>
      <c r="B17" s="501" t="s">
        <v>2698</v>
      </c>
      <c r="C17" s="501"/>
      <c r="D17" s="501"/>
      <c r="E17" s="442"/>
      <c r="F17" s="501" t="s">
        <v>2699</v>
      </c>
      <c r="G17" s="501"/>
      <c r="H17" s="501"/>
      <c r="I17" s="442"/>
      <c r="J17" s="501" t="s">
        <v>2700</v>
      </c>
      <c r="K17" s="501"/>
      <c r="L17" s="501"/>
      <c r="M17" s="442"/>
      <c r="N17" s="501" t="s">
        <v>2701</v>
      </c>
      <c r="O17" s="501"/>
      <c r="P17" s="501"/>
      <c r="Q17" s="442"/>
      <c r="R17" s="501" t="s">
        <v>2703</v>
      </c>
      <c r="S17" s="501"/>
      <c r="T17" s="501"/>
      <c r="U17" s="442"/>
      <c r="V17" s="501" t="s">
        <v>2702</v>
      </c>
      <c r="W17" s="501"/>
      <c r="X17" s="501"/>
      <c r="Y17" s="442"/>
      <c r="Z17" s="442"/>
    </row>
    <row r="18" spans="1:26" ht="16" x14ac:dyDescent="0.45">
      <c r="A18" s="8"/>
      <c r="B18" s="8"/>
      <c r="C18" s="114"/>
      <c r="D18" s="114"/>
      <c r="E18" s="114"/>
      <c r="F18" s="8"/>
      <c r="G18" s="114"/>
      <c r="H18" s="114"/>
      <c r="I18" s="114"/>
      <c r="J18" s="8"/>
      <c r="K18" s="114"/>
      <c r="L18" s="114"/>
      <c r="M18" s="114"/>
      <c r="N18" s="8"/>
      <c r="O18" s="114"/>
      <c r="P18" s="114"/>
      <c r="Q18" s="114"/>
      <c r="R18" s="8"/>
      <c r="S18" s="114"/>
      <c r="T18" s="114"/>
      <c r="U18" s="114"/>
      <c r="V18" s="8"/>
      <c r="W18" s="114"/>
      <c r="X18" s="114"/>
      <c r="Y18" s="114"/>
      <c r="Z18" s="114"/>
    </row>
    <row r="19" spans="1:26" ht="16" x14ac:dyDescent="0.45">
      <c r="A19" s="8"/>
      <c r="B19" s="8"/>
      <c r="C19" s="114"/>
      <c r="D19" s="114"/>
      <c r="E19" s="114"/>
      <c r="F19" s="8"/>
      <c r="G19" s="114"/>
      <c r="H19" s="114"/>
      <c r="I19" s="114"/>
      <c r="J19" s="8"/>
      <c r="K19" s="114"/>
      <c r="L19" s="114"/>
      <c r="M19" s="114"/>
      <c r="N19" s="8"/>
      <c r="O19" s="114"/>
      <c r="P19" s="114"/>
      <c r="Q19" s="114"/>
      <c r="R19" s="8"/>
      <c r="S19" s="114"/>
      <c r="T19" s="114"/>
      <c r="U19" s="114"/>
      <c r="V19" s="8"/>
      <c r="W19" s="114"/>
      <c r="X19" s="114"/>
      <c r="Y19" s="114"/>
      <c r="Z19" s="114"/>
    </row>
    <row r="20" spans="1:26" ht="16" x14ac:dyDescent="0.45">
      <c r="A20" s="8"/>
      <c r="B20" s="8"/>
      <c r="C20" s="114"/>
      <c r="D20" s="114"/>
      <c r="E20" s="114"/>
      <c r="F20" s="8"/>
      <c r="G20" s="114"/>
      <c r="H20" s="114"/>
      <c r="I20" s="114"/>
      <c r="J20" s="8"/>
      <c r="K20" s="114"/>
      <c r="L20" s="114"/>
      <c r="M20" s="114"/>
      <c r="N20" s="8"/>
      <c r="O20" s="114"/>
      <c r="P20" s="114"/>
      <c r="Q20" s="114"/>
      <c r="R20" s="8"/>
      <c r="S20" s="114"/>
      <c r="T20" s="114"/>
      <c r="U20" s="114"/>
      <c r="V20" s="8"/>
      <c r="W20" s="114"/>
      <c r="X20" s="114"/>
      <c r="Y20" s="114"/>
      <c r="Z20" s="114"/>
    </row>
    <row r="21" spans="1:26" ht="16" x14ac:dyDescent="0.45">
      <c r="A21" s="8"/>
      <c r="B21" s="8"/>
      <c r="C21" s="114"/>
      <c r="D21" s="114"/>
      <c r="E21" s="114"/>
      <c r="F21" s="8"/>
      <c r="G21" s="114"/>
      <c r="H21" s="114"/>
      <c r="I21" s="114"/>
      <c r="J21" s="8"/>
      <c r="K21" s="114"/>
      <c r="L21" s="114"/>
      <c r="M21" s="114"/>
      <c r="N21" s="8"/>
      <c r="O21" s="114"/>
      <c r="P21" s="114"/>
      <c r="Q21" s="114"/>
      <c r="R21" s="8"/>
      <c r="S21" s="114"/>
      <c r="T21" s="114"/>
      <c r="U21" s="114"/>
      <c r="V21" s="8"/>
      <c r="W21" s="114"/>
      <c r="X21" s="114"/>
      <c r="Y21" s="114"/>
      <c r="Z21" s="114"/>
    </row>
    <row r="22" spans="1:26" ht="16" x14ac:dyDescent="0.45">
      <c r="A22" s="8"/>
      <c r="B22" s="8"/>
      <c r="C22" s="114"/>
      <c r="D22" s="114"/>
      <c r="E22" s="114"/>
      <c r="F22" s="8"/>
      <c r="G22" s="114"/>
      <c r="H22" s="114"/>
      <c r="I22" s="114"/>
      <c r="J22" s="8"/>
      <c r="K22" s="114"/>
      <c r="L22" s="114"/>
      <c r="M22" s="114"/>
      <c r="N22" s="8"/>
      <c r="O22" s="114"/>
      <c r="P22" s="114"/>
      <c r="Q22" s="114"/>
      <c r="R22" s="8"/>
      <c r="S22" s="114"/>
      <c r="T22" s="114"/>
      <c r="U22" s="114"/>
      <c r="V22" s="8"/>
      <c r="W22" s="114"/>
      <c r="X22" s="114"/>
      <c r="Y22" s="114"/>
      <c r="Z22" s="114"/>
    </row>
    <row r="23" spans="1:26" ht="16" x14ac:dyDescent="0.45">
      <c r="A23" s="8"/>
      <c r="B23" s="8"/>
      <c r="C23" s="114"/>
      <c r="D23" s="114"/>
      <c r="E23" s="114"/>
      <c r="F23" s="8"/>
      <c r="G23" s="114"/>
      <c r="H23" s="114"/>
      <c r="I23" s="114"/>
      <c r="J23" s="8"/>
      <c r="K23" s="114"/>
      <c r="L23" s="114"/>
      <c r="M23" s="114"/>
      <c r="N23" s="8"/>
      <c r="O23" s="114"/>
      <c r="P23" s="114"/>
      <c r="Q23" s="114"/>
      <c r="R23" s="8"/>
      <c r="S23" s="114"/>
      <c r="T23" s="114"/>
      <c r="U23" s="114"/>
      <c r="V23" s="8"/>
      <c r="W23" s="114"/>
      <c r="X23" s="114"/>
      <c r="Y23" s="114"/>
      <c r="Z23" s="114"/>
    </row>
    <row r="24" spans="1:26" ht="16" x14ac:dyDescent="0.45">
      <c r="A24" s="8"/>
      <c r="B24" s="8"/>
      <c r="C24" s="114"/>
      <c r="D24" s="114"/>
      <c r="E24" s="114"/>
      <c r="F24" s="8"/>
      <c r="G24" s="114"/>
      <c r="H24" s="114"/>
      <c r="I24" s="114"/>
      <c r="J24" s="8"/>
      <c r="K24" s="114"/>
      <c r="L24" s="114"/>
      <c r="M24" s="114"/>
      <c r="N24" s="8"/>
      <c r="O24" s="114"/>
      <c r="P24" s="114"/>
      <c r="Q24" s="114"/>
      <c r="R24" s="8"/>
      <c r="S24" s="114"/>
      <c r="T24" s="114"/>
      <c r="U24" s="114"/>
      <c r="V24" s="8"/>
      <c r="W24" s="114"/>
      <c r="X24" s="114"/>
      <c r="Y24" s="114"/>
      <c r="Z24" s="114"/>
    </row>
    <row r="25" spans="1:26" ht="16" x14ac:dyDescent="0.45">
      <c r="A25" s="8"/>
      <c r="B25" s="8"/>
      <c r="C25" s="114"/>
      <c r="D25" s="114"/>
      <c r="E25" s="114"/>
      <c r="F25" s="8"/>
      <c r="G25" s="114"/>
      <c r="H25" s="114"/>
      <c r="I25" s="114"/>
      <c r="J25" s="8"/>
      <c r="K25" s="114"/>
      <c r="L25" s="114"/>
      <c r="M25" s="114"/>
      <c r="N25" s="8"/>
      <c r="O25" s="114"/>
      <c r="P25" s="114"/>
      <c r="Q25" s="114"/>
      <c r="R25" s="8"/>
      <c r="S25" s="114"/>
      <c r="T25" s="114"/>
      <c r="U25" s="114"/>
      <c r="V25" s="8"/>
      <c r="W25" s="114"/>
      <c r="X25" s="114"/>
      <c r="Y25" s="114"/>
      <c r="Z25" s="114"/>
    </row>
    <row r="26" spans="1:26" ht="16" x14ac:dyDescent="0.45">
      <c r="A26" s="8"/>
      <c r="B26" s="8"/>
      <c r="C26" s="114"/>
      <c r="D26" s="114"/>
      <c r="E26" s="114"/>
      <c r="F26" s="8"/>
      <c r="G26" s="114"/>
      <c r="H26" s="114"/>
      <c r="I26" s="114"/>
      <c r="J26" s="8"/>
      <c r="K26" s="114"/>
      <c r="L26" s="114"/>
      <c r="M26" s="114"/>
      <c r="N26" s="8"/>
      <c r="O26" s="114"/>
      <c r="P26" s="114"/>
      <c r="Q26" s="114"/>
      <c r="R26" s="8"/>
      <c r="S26" s="114"/>
      <c r="T26" s="114"/>
      <c r="U26" s="114"/>
      <c r="V26" s="8"/>
      <c r="W26" s="114"/>
      <c r="X26" s="114"/>
      <c r="Y26" s="114"/>
      <c r="Z26" s="114"/>
    </row>
    <row r="27" spans="1:26" x14ac:dyDescent="0.4">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x14ac:dyDescent="0.4">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x14ac:dyDescent="0.4">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x14ac:dyDescent="0.4">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x14ac:dyDescent="0.4">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x14ac:dyDescent="0.4">
      <c r="A32" s="6"/>
      <c r="B32" s="6"/>
      <c r="C32" s="6"/>
      <c r="D32" s="6"/>
      <c r="E32" s="6"/>
      <c r="F32" s="6"/>
      <c r="G32" s="6"/>
      <c r="H32" s="6"/>
      <c r="I32" s="6"/>
      <c r="J32" s="6"/>
      <c r="K32" s="6"/>
      <c r="L32" s="6"/>
      <c r="M32" s="6"/>
      <c r="N32" s="6"/>
      <c r="O32" s="6"/>
      <c r="P32" s="6"/>
      <c r="Q32" s="6"/>
      <c r="R32" s="6"/>
      <c r="S32" s="6"/>
      <c r="T32" s="6"/>
      <c r="U32" s="6"/>
      <c r="V32" s="6"/>
      <c r="W32" s="6"/>
      <c r="X32" s="6"/>
      <c r="Y32" s="6"/>
      <c r="Z32" s="6"/>
    </row>
  </sheetData>
  <sheetProtection algorithmName="SHA-512" hashValue="HeXYGz4kfzM0WfCE7S50vDbCOcOBeJYp8Y3zpT35KM7QtVlwBlFieUBao080jOeb59vI6Ota58K78jMLHu8oVQ==" saltValue="ISiYvstCU2Cr7lyxFYd+Pw==" spinCount="100000" sheet="1" objects="1" scenarios="1"/>
  <mergeCells count="12">
    <mergeCell ref="R7:T7"/>
    <mergeCell ref="V7:X7"/>
    <mergeCell ref="B17:D17"/>
    <mergeCell ref="B7:D7"/>
    <mergeCell ref="F7:H7"/>
    <mergeCell ref="J7:L7"/>
    <mergeCell ref="N7:P7"/>
    <mergeCell ref="V17:X17"/>
    <mergeCell ref="R17:T17"/>
    <mergeCell ref="N17:P17"/>
    <mergeCell ref="J17:L17"/>
    <mergeCell ref="F17:H17"/>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A0F4C-6AEB-45FE-877C-6EAFF3999B0F}">
  <sheetPr codeName="Sheet38"/>
  <dimension ref="A1:AB32"/>
  <sheetViews>
    <sheetView showGridLines="0" zoomScaleNormal="100" workbookViewId="0">
      <selection activeCell="O26" sqref="O26"/>
    </sheetView>
  </sheetViews>
  <sheetFormatPr defaultColWidth="8.7265625" defaultRowHeight="14" x14ac:dyDescent="0.4"/>
  <cols>
    <col min="1" max="1" width="2.453125" style="20" customWidth="1"/>
    <col min="2" max="2" width="3.7265625" style="20" customWidth="1"/>
    <col min="3" max="4" width="11.7265625" style="20" customWidth="1"/>
    <col min="5" max="6" width="3.7265625" style="20" customWidth="1"/>
    <col min="7" max="8" width="11.7265625" style="20" customWidth="1"/>
    <col min="9" max="10" width="3.7265625" style="20" customWidth="1"/>
    <col min="11" max="12" width="11.7265625" style="20" customWidth="1"/>
    <col min="13" max="14" width="3.7265625" style="20" customWidth="1"/>
    <col min="15" max="16" width="11.7265625" style="20" customWidth="1"/>
    <col min="17" max="18" width="3.7265625" style="20" customWidth="1"/>
    <col min="19" max="20" width="11.7265625" style="20" customWidth="1"/>
    <col min="21" max="22" width="3.7265625" style="20" customWidth="1"/>
    <col min="23" max="24" width="11.7265625" style="20" customWidth="1"/>
    <col min="25" max="26" width="3.7265625" style="20" customWidth="1"/>
    <col min="27" max="16384" width="8.7265625" style="123"/>
  </cols>
  <sheetData>
    <row r="1" spans="1:28" x14ac:dyDescent="0.4">
      <c r="A1" s="422"/>
      <c r="B1" s="422"/>
      <c r="C1" s="422"/>
      <c r="D1" s="423"/>
      <c r="E1" s="422"/>
      <c r="F1" s="422"/>
      <c r="G1" s="422"/>
      <c r="H1" s="423"/>
      <c r="I1" s="422"/>
      <c r="J1" s="422"/>
      <c r="K1" s="422"/>
      <c r="L1" s="423"/>
      <c r="M1" s="422"/>
      <c r="N1" s="422"/>
      <c r="O1" s="422"/>
      <c r="P1" s="423"/>
      <c r="Q1" s="422"/>
      <c r="R1" s="422"/>
      <c r="S1" s="422"/>
      <c r="T1" s="423"/>
      <c r="U1" s="422"/>
      <c r="V1" s="422"/>
      <c r="W1" s="422"/>
      <c r="X1" s="423"/>
      <c r="Y1" s="422"/>
      <c r="Z1" s="422"/>
      <c r="AA1" s="422"/>
      <c r="AB1" s="422"/>
    </row>
    <row r="2" spans="1:28" ht="26" x14ac:dyDescent="0.65">
      <c r="A2" s="422"/>
      <c r="B2" s="422"/>
      <c r="C2" s="422"/>
      <c r="D2" s="423"/>
      <c r="E2" s="422"/>
      <c r="F2" s="424"/>
      <c r="G2" s="422"/>
      <c r="H2" s="423"/>
      <c r="I2" s="422"/>
      <c r="J2" s="424"/>
      <c r="K2" s="422"/>
      <c r="L2" s="423"/>
      <c r="M2" s="422"/>
      <c r="N2" s="424"/>
      <c r="O2" s="422"/>
      <c r="P2" s="423"/>
      <c r="Q2" s="422"/>
      <c r="R2" s="424"/>
      <c r="S2" s="422"/>
      <c r="T2" s="423"/>
      <c r="U2" s="422"/>
      <c r="V2" s="424"/>
      <c r="W2" s="422"/>
      <c r="X2" s="423"/>
      <c r="Y2" s="422"/>
      <c r="Z2" s="422"/>
      <c r="AA2" s="422"/>
      <c r="AB2" s="422"/>
    </row>
    <row r="3" spans="1:28" x14ac:dyDescent="0.4">
      <c r="A3" s="422"/>
      <c r="B3" s="422"/>
      <c r="C3" s="422"/>
      <c r="D3" s="423"/>
      <c r="E3" s="422"/>
      <c r="F3" s="422"/>
      <c r="G3" s="422"/>
      <c r="H3" s="423"/>
      <c r="I3" s="422"/>
      <c r="J3" s="422"/>
      <c r="K3" s="422"/>
      <c r="L3" s="423"/>
      <c r="M3" s="422"/>
      <c r="N3" s="422"/>
      <c r="O3" s="422"/>
      <c r="P3" s="423"/>
      <c r="Q3" s="422"/>
      <c r="R3" s="422"/>
      <c r="S3" s="422"/>
      <c r="T3" s="423"/>
      <c r="U3" s="422"/>
      <c r="V3" s="422"/>
      <c r="W3" s="422"/>
      <c r="X3" s="423"/>
      <c r="Y3" s="422"/>
      <c r="Z3" s="422"/>
      <c r="AA3" s="422"/>
      <c r="AB3" s="422"/>
    </row>
    <row r="4" spans="1:28" x14ac:dyDescent="0.4">
      <c r="A4" s="423"/>
      <c r="B4" s="423"/>
      <c r="C4" s="423"/>
      <c r="D4" s="423"/>
      <c r="E4" s="423"/>
      <c r="F4" s="423"/>
      <c r="G4" s="423"/>
      <c r="H4" s="423"/>
      <c r="I4" s="423"/>
      <c r="J4" s="423"/>
      <c r="K4" s="423"/>
      <c r="L4" s="423"/>
      <c r="M4" s="423"/>
      <c r="N4" s="423"/>
      <c r="O4" s="423"/>
      <c r="P4" s="423"/>
      <c r="Q4" s="423"/>
      <c r="R4" s="423"/>
      <c r="S4" s="423"/>
      <c r="T4" s="423"/>
      <c r="U4" s="423"/>
      <c r="V4" s="423"/>
      <c r="W4" s="423"/>
      <c r="X4" s="423"/>
      <c r="Y4" s="423"/>
      <c r="Z4" s="423"/>
      <c r="AA4" s="423"/>
      <c r="AB4" s="423"/>
    </row>
    <row r="5" spans="1:28" x14ac:dyDescent="0.4">
      <c r="A5" s="423"/>
      <c r="B5" s="423"/>
      <c r="C5" s="423"/>
      <c r="D5" s="423"/>
      <c r="E5" s="423"/>
      <c r="F5" s="423"/>
      <c r="G5" s="423"/>
      <c r="H5" s="423"/>
      <c r="I5" s="423"/>
      <c r="J5" s="423"/>
      <c r="K5" s="423"/>
      <c r="L5" s="423"/>
      <c r="M5" s="423"/>
      <c r="N5" s="423"/>
      <c r="O5" s="423"/>
      <c r="P5" s="423"/>
      <c r="Q5" s="423"/>
      <c r="R5" s="423"/>
      <c r="S5" s="423"/>
      <c r="T5" s="423"/>
      <c r="U5" s="423"/>
      <c r="V5" s="423"/>
      <c r="W5" s="423"/>
      <c r="X5" s="423"/>
      <c r="Y5" s="423"/>
      <c r="Z5" s="423"/>
      <c r="AA5" s="423"/>
      <c r="AB5" s="423"/>
    </row>
    <row r="6" spans="1:28" ht="3.75" customHeight="1" x14ac:dyDescent="0.4">
      <c r="A6" s="423"/>
      <c r="B6" s="423"/>
      <c r="C6" s="423"/>
      <c r="D6" s="423"/>
      <c r="E6" s="423"/>
      <c r="F6" s="423"/>
      <c r="G6" s="423"/>
      <c r="H6" s="423"/>
      <c r="I6" s="423"/>
      <c r="J6" s="423"/>
      <c r="K6" s="423"/>
      <c r="L6" s="423"/>
      <c r="M6" s="423"/>
      <c r="N6" s="423"/>
      <c r="O6" s="423"/>
      <c r="P6" s="423"/>
      <c r="Q6" s="423"/>
      <c r="R6" s="423"/>
      <c r="S6" s="423"/>
      <c r="T6" s="423"/>
      <c r="U6" s="423"/>
      <c r="V6" s="423"/>
      <c r="W6" s="423"/>
      <c r="X6" s="423"/>
      <c r="Y6" s="423"/>
      <c r="Z6" s="423"/>
      <c r="AA6" s="423"/>
      <c r="AB6" s="423"/>
    </row>
    <row r="7" spans="1:28" x14ac:dyDescent="0.4">
      <c r="A7" s="423"/>
      <c r="B7" s="423"/>
      <c r="C7" s="423"/>
      <c r="D7" s="423"/>
      <c r="E7" s="423"/>
      <c r="F7" s="423"/>
      <c r="G7" s="423"/>
      <c r="H7" s="423"/>
      <c r="I7" s="423"/>
      <c r="J7" s="423"/>
      <c r="K7" s="423"/>
      <c r="L7" s="423"/>
      <c r="M7" s="423"/>
      <c r="N7" s="423"/>
      <c r="O7" s="423"/>
      <c r="P7" s="423"/>
      <c r="Q7" s="423"/>
      <c r="R7" s="423"/>
      <c r="S7" s="423"/>
      <c r="T7" s="423"/>
      <c r="U7" s="423"/>
      <c r="V7" s="423"/>
      <c r="W7" s="423"/>
      <c r="X7" s="423"/>
      <c r="Y7" s="423"/>
      <c r="Z7" s="423"/>
      <c r="AA7" s="423"/>
      <c r="AB7" s="423"/>
    </row>
    <row r="8" spans="1:28" ht="16" x14ac:dyDescent="0.45">
      <c r="A8" s="423"/>
      <c r="B8" s="425"/>
      <c r="C8" s="425"/>
      <c r="D8" s="425"/>
      <c r="E8" s="425"/>
      <c r="F8" s="425"/>
      <c r="G8" s="425"/>
      <c r="H8" s="425"/>
      <c r="I8" s="425"/>
      <c r="J8" s="425"/>
      <c r="K8" s="425"/>
      <c r="L8" s="425"/>
      <c r="M8" s="425"/>
      <c r="N8" s="425"/>
      <c r="O8" s="425"/>
      <c r="P8" s="425"/>
      <c r="Q8" s="425"/>
      <c r="R8" s="425"/>
      <c r="S8" s="425"/>
      <c r="T8" s="425"/>
      <c r="U8" s="425"/>
      <c r="V8" s="425"/>
      <c r="W8" s="425"/>
      <c r="X8" s="425"/>
      <c r="Y8" s="425"/>
      <c r="Z8" s="425"/>
      <c r="AA8" s="425"/>
      <c r="AB8" s="425"/>
    </row>
    <row r="9" spans="1:28" ht="16" x14ac:dyDescent="0.45">
      <c r="A9" s="423"/>
      <c r="B9" s="423"/>
      <c r="C9" s="425"/>
      <c r="D9" s="425"/>
      <c r="E9" s="425"/>
      <c r="F9" s="423"/>
      <c r="G9" s="425"/>
      <c r="H9" s="425"/>
      <c r="I9" s="425"/>
      <c r="J9" s="423"/>
      <c r="K9" s="425"/>
      <c r="L9" s="425"/>
      <c r="M9" s="425"/>
      <c r="N9" s="423"/>
      <c r="O9" s="425"/>
      <c r="P9" s="425"/>
      <c r="Q9" s="425"/>
      <c r="R9" s="423"/>
      <c r="S9" s="425"/>
      <c r="T9" s="425"/>
      <c r="U9" s="425"/>
      <c r="V9" s="423"/>
      <c r="W9" s="425"/>
      <c r="X9" s="425"/>
      <c r="Y9" s="425"/>
      <c r="Z9" s="425"/>
      <c r="AA9" s="425"/>
      <c r="AB9" s="425"/>
    </row>
    <row r="10" spans="1:28" ht="16" x14ac:dyDescent="0.45">
      <c r="A10" s="423"/>
      <c r="B10" s="423"/>
      <c r="C10" s="425"/>
      <c r="D10" s="425"/>
      <c r="E10" s="425"/>
      <c r="F10" s="423"/>
      <c r="G10" s="425"/>
      <c r="H10" s="425"/>
      <c r="I10" s="425"/>
      <c r="J10" s="423"/>
      <c r="K10" s="425"/>
      <c r="L10" s="425"/>
      <c r="M10" s="425"/>
      <c r="N10" s="423"/>
      <c r="O10" s="425"/>
      <c r="P10" s="425"/>
      <c r="Q10" s="425"/>
      <c r="R10" s="423"/>
      <c r="S10" s="425"/>
      <c r="T10" s="425"/>
      <c r="U10" s="425"/>
      <c r="V10" s="423"/>
      <c r="W10" s="425"/>
      <c r="X10" s="425"/>
      <c r="Y10" s="425"/>
      <c r="Z10" s="425"/>
      <c r="AA10" s="425"/>
      <c r="AB10" s="425"/>
    </row>
    <row r="11" spans="1:28" ht="16" x14ac:dyDescent="0.45">
      <c r="A11" s="423"/>
      <c r="B11" s="423"/>
      <c r="C11" s="425"/>
      <c r="D11" s="425"/>
      <c r="E11" s="425"/>
      <c r="F11" s="423"/>
      <c r="G11" s="425"/>
      <c r="H11" s="425"/>
      <c r="I11" s="425"/>
      <c r="J11" s="423"/>
      <c r="K11" s="425"/>
      <c r="L11" s="425"/>
      <c r="M11" s="425"/>
      <c r="N11" s="423"/>
      <c r="O11" s="425"/>
      <c r="P11" s="425"/>
      <c r="Q11" s="425"/>
      <c r="R11" s="423"/>
      <c r="S11" s="425"/>
      <c r="T11" s="425"/>
      <c r="U11" s="425"/>
      <c r="V11" s="423"/>
      <c r="W11" s="425"/>
      <c r="X11" s="425"/>
      <c r="Y11" s="425"/>
      <c r="Z11" s="425"/>
      <c r="AA11" s="425"/>
      <c r="AB11" s="425"/>
    </row>
    <row r="12" spans="1:28" ht="16" x14ac:dyDescent="0.45">
      <c r="A12" s="423"/>
      <c r="B12" s="423"/>
      <c r="C12" s="425"/>
      <c r="D12" s="425"/>
      <c r="E12" s="425"/>
      <c r="F12" s="423"/>
      <c r="G12" s="425"/>
      <c r="H12" s="425"/>
      <c r="I12" s="425"/>
      <c r="J12" s="423"/>
      <c r="K12" s="425"/>
      <c r="L12" s="425"/>
      <c r="M12" s="425"/>
      <c r="N12" s="423"/>
      <c r="O12" s="425"/>
      <c r="P12" s="425"/>
      <c r="Q12" s="425"/>
      <c r="R12" s="423"/>
      <c r="S12" s="425"/>
      <c r="T12" s="425"/>
      <c r="U12" s="425"/>
      <c r="V12" s="423"/>
      <c r="W12" s="425"/>
      <c r="X12" s="425"/>
      <c r="Y12" s="425"/>
      <c r="Z12" s="425"/>
      <c r="AA12" s="425"/>
      <c r="AB12" s="425"/>
    </row>
    <row r="13" spans="1:28" ht="16" x14ac:dyDescent="0.45">
      <c r="A13" s="423"/>
      <c r="B13" s="423"/>
      <c r="C13" s="425"/>
      <c r="D13" s="425"/>
      <c r="E13" s="425"/>
      <c r="F13" s="423"/>
      <c r="G13" s="425"/>
      <c r="H13" s="425"/>
      <c r="I13" s="425"/>
      <c r="J13" s="423"/>
      <c r="K13" s="425"/>
      <c r="L13" s="425"/>
      <c r="M13" s="425"/>
      <c r="N13" s="423"/>
      <c r="O13" s="425"/>
      <c r="P13" s="425"/>
      <c r="Q13" s="425"/>
      <c r="R13" s="423"/>
      <c r="S13" s="425"/>
      <c r="T13" s="425"/>
      <c r="U13" s="425"/>
      <c r="V13" s="423"/>
      <c r="W13" s="425"/>
      <c r="X13" s="425"/>
      <c r="Y13" s="425"/>
      <c r="Z13" s="425"/>
      <c r="AA13" s="425"/>
      <c r="AB13" s="425"/>
    </row>
    <row r="14" spans="1:28" ht="16" x14ac:dyDescent="0.45">
      <c r="A14" s="423"/>
      <c r="B14" s="423"/>
      <c r="C14" s="425"/>
      <c r="D14" s="425"/>
      <c r="E14" s="425"/>
      <c r="F14" s="423"/>
      <c r="G14" s="425"/>
      <c r="H14" s="425"/>
      <c r="I14" s="425"/>
      <c r="J14" s="423"/>
      <c r="K14" s="425"/>
      <c r="L14" s="425"/>
      <c r="M14" s="425"/>
      <c r="N14" s="423"/>
      <c r="O14" s="425"/>
      <c r="P14" s="425"/>
      <c r="Q14" s="425"/>
      <c r="R14" s="423"/>
      <c r="S14" s="425"/>
      <c r="T14" s="425"/>
      <c r="U14" s="425"/>
      <c r="V14" s="423"/>
      <c r="W14" s="425"/>
      <c r="X14" s="425"/>
      <c r="Y14" s="425"/>
      <c r="Z14" s="425"/>
      <c r="AA14" s="425"/>
      <c r="AB14" s="425"/>
    </row>
    <row r="15" spans="1:28" ht="16" x14ac:dyDescent="0.45">
      <c r="A15" s="423"/>
      <c r="B15" s="423"/>
      <c r="C15" s="425"/>
      <c r="D15" s="425"/>
      <c r="E15" s="425"/>
      <c r="F15" s="423"/>
      <c r="G15" s="425"/>
      <c r="H15" s="425"/>
      <c r="I15" s="425"/>
      <c r="J15" s="423"/>
      <c r="K15" s="425"/>
      <c r="L15" s="425"/>
      <c r="M15" s="425"/>
      <c r="N15" s="423"/>
      <c r="O15" s="425"/>
      <c r="P15" s="425"/>
      <c r="Q15" s="425"/>
      <c r="R15" s="423"/>
      <c r="S15" s="425"/>
      <c r="T15" s="425"/>
      <c r="U15" s="425"/>
      <c r="V15" s="423"/>
      <c r="W15" s="425"/>
      <c r="X15" s="425"/>
      <c r="Y15" s="425"/>
      <c r="Z15" s="425"/>
      <c r="AA15" s="425"/>
      <c r="AB15" s="425"/>
    </row>
    <row r="16" spans="1:28" ht="16" x14ac:dyDescent="0.45">
      <c r="A16" s="423"/>
      <c r="B16" s="423"/>
      <c r="C16" s="425"/>
      <c r="D16" s="425"/>
      <c r="E16" s="425"/>
      <c r="F16" s="423"/>
      <c r="G16" s="425"/>
      <c r="H16" s="425"/>
      <c r="I16" s="425"/>
      <c r="J16" s="423"/>
      <c r="K16" s="425"/>
      <c r="L16" s="425"/>
      <c r="M16" s="425"/>
      <c r="N16" s="423"/>
      <c r="O16" s="425"/>
      <c r="P16" s="425"/>
      <c r="Q16" s="425"/>
      <c r="R16" s="423"/>
      <c r="S16" s="425"/>
      <c r="T16" s="425"/>
      <c r="U16" s="425"/>
      <c r="V16" s="423"/>
      <c r="W16" s="425"/>
      <c r="X16" s="425"/>
      <c r="Y16" s="425"/>
      <c r="Z16" s="425"/>
      <c r="AA16" s="425"/>
      <c r="AB16" s="425"/>
    </row>
    <row r="17" spans="1:28" ht="16" x14ac:dyDescent="0.45">
      <c r="A17" s="423"/>
      <c r="B17" s="423"/>
      <c r="C17" s="425"/>
      <c r="D17" s="425"/>
      <c r="E17" s="425"/>
      <c r="F17" s="423"/>
      <c r="G17" s="425"/>
      <c r="H17" s="425"/>
      <c r="I17" s="425"/>
      <c r="J17" s="423"/>
      <c r="K17" s="425"/>
      <c r="L17" s="425"/>
      <c r="M17" s="425"/>
      <c r="N17" s="423"/>
      <c r="O17" s="425"/>
      <c r="P17" s="425"/>
      <c r="Q17" s="425"/>
      <c r="R17" s="423"/>
      <c r="S17" s="425"/>
      <c r="T17" s="425"/>
      <c r="U17" s="425"/>
      <c r="V17" s="423"/>
      <c r="W17" s="425"/>
      <c r="X17" s="425"/>
      <c r="Y17" s="425"/>
      <c r="Z17" s="425"/>
      <c r="AA17" s="425"/>
      <c r="AB17" s="425"/>
    </row>
    <row r="18" spans="1:28" ht="16" x14ac:dyDescent="0.45">
      <c r="A18" s="423"/>
      <c r="B18" s="425"/>
      <c r="C18" s="425"/>
      <c r="D18" s="425"/>
      <c r="E18" s="425"/>
      <c r="F18" s="425"/>
      <c r="G18" s="425"/>
      <c r="H18" s="425"/>
      <c r="I18" s="425"/>
      <c r="J18" s="425"/>
      <c r="K18" s="425"/>
      <c r="L18" s="425"/>
      <c r="M18" s="425"/>
      <c r="N18" s="425"/>
      <c r="O18" s="425"/>
      <c r="P18" s="425"/>
      <c r="Q18" s="425"/>
      <c r="R18" s="425"/>
      <c r="S18" s="425"/>
      <c r="T18" s="425"/>
      <c r="U18" s="425"/>
      <c r="V18" s="425"/>
      <c r="W18" s="425"/>
      <c r="X18" s="425"/>
      <c r="Y18" s="425"/>
      <c r="Z18" s="425"/>
      <c r="AA18" s="425"/>
      <c r="AB18" s="425"/>
    </row>
    <row r="19" spans="1:28" ht="16" x14ac:dyDescent="0.45">
      <c r="A19" s="423"/>
      <c r="B19" s="423"/>
      <c r="C19" s="425"/>
      <c r="D19" s="425"/>
      <c r="E19" s="425"/>
      <c r="F19" s="423"/>
      <c r="G19" s="425"/>
      <c r="H19" s="425"/>
      <c r="I19" s="425"/>
      <c r="J19" s="423"/>
      <c r="K19" s="425"/>
      <c r="L19" s="425"/>
      <c r="M19" s="425"/>
      <c r="N19" s="423"/>
      <c r="O19" s="425"/>
      <c r="P19" s="425"/>
      <c r="Q19" s="425"/>
      <c r="R19" s="423"/>
      <c r="S19" s="425"/>
      <c r="T19" s="425"/>
      <c r="U19" s="425"/>
      <c r="V19" s="423"/>
      <c r="W19" s="425"/>
      <c r="X19" s="425"/>
      <c r="Y19" s="425"/>
      <c r="Z19" s="425"/>
      <c r="AA19" s="425"/>
      <c r="AB19" s="425"/>
    </row>
    <row r="20" spans="1:28" ht="16" x14ac:dyDescent="0.45">
      <c r="A20" s="423"/>
      <c r="B20" s="423"/>
      <c r="C20" s="425"/>
      <c r="D20" s="425"/>
      <c r="E20" s="425"/>
      <c r="F20" s="423"/>
      <c r="G20" s="425"/>
      <c r="H20" s="425"/>
      <c r="I20" s="425"/>
      <c r="J20" s="423"/>
      <c r="K20" s="425"/>
      <c r="L20" s="425"/>
      <c r="M20" s="425"/>
      <c r="N20" s="423"/>
      <c r="O20" s="425"/>
      <c r="P20" s="425"/>
      <c r="Q20" s="425"/>
      <c r="R20" s="423"/>
      <c r="S20" s="425"/>
      <c r="T20" s="425"/>
      <c r="U20" s="425"/>
      <c r="V20" s="423"/>
      <c r="W20" s="425"/>
      <c r="X20" s="425"/>
      <c r="Y20" s="425"/>
      <c r="Z20" s="425"/>
      <c r="AA20" s="425"/>
      <c r="AB20" s="425"/>
    </row>
    <row r="21" spans="1:28" ht="16" x14ac:dyDescent="0.45">
      <c r="A21" s="423"/>
      <c r="B21" s="423"/>
      <c r="C21" s="425"/>
      <c r="D21" s="425"/>
      <c r="E21" s="425"/>
      <c r="F21" s="423"/>
      <c r="G21" s="425"/>
      <c r="H21" s="425"/>
      <c r="I21" s="425"/>
      <c r="J21" s="423"/>
      <c r="K21" s="425"/>
      <c r="L21" s="425"/>
      <c r="M21" s="425"/>
      <c r="N21" s="423"/>
      <c r="O21" s="425"/>
      <c r="P21" s="425"/>
      <c r="Q21" s="425"/>
      <c r="R21" s="423"/>
      <c r="S21" s="425"/>
      <c r="T21" s="425"/>
      <c r="U21" s="425"/>
      <c r="V21" s="423"/>
      <c r="W21" s="425"/>
      <c r="X21" s="425"/>
      <c r="Y21" s="425"/>
      <c r="Z21" s="425"/>
      <c r="AA21" s="425"/>
      <c r="AB21" s="425"/>
    </row>
    <row r="22" spans="1:28" ht="16" x14ac:dyDescent="0.45">
      <c r="A22" s="423"/>
      <c r="B22" s="423"/>
      <c r="C22" s="425"/>
      <c r="D22" s="425"/>
      <c r="E22" s="425"/>
      <c r="F22" s="423"/>
      <c r="G22" s="425"/>
      <c r="H22" s="425"/>
      <c r="I22" s="425"/>
      <c r="J22" s="423"/>
      <c r="K22" s="425"/>
      <c r="L22" s="425"/>
      <c r="M22" s="425"/>
      <c r="N22" s="423"/>
      <c r="O22" s="425"/>
      <c r="P22" s="425"/>
      <c r="Q22" s="425"/>
      <c r="R22" s="423"/>
      <c r="S22" s="425"/>
      <c r="T22" s="425"/>
      <c r="U22" s="425"/>
      <c r="V22" s="423"/>
      <c r="W22" s="425"/>
      <c r="X22" s="425"/>
      <c r="Y22" s="425"/>
      <c r="Z22" s="425"/>
      <c r="AA22" s="425"/>
      <c r="AB22" s="425"/>
    </row>
    <row r="23" spans="1:28" ht="16" x14ac:dyDescent="0.45">
      <c r="A23" s="423"/>
      <c r="B23" s="423"/>
      <c r="C23" s="425"/>
      <c r="D23" s="425"/>
      <c r="E23" s="425"/>
      <c r="F23" s="423"/>
      <c r="G23" s="425"/>
      <c r="H23" s="425"/>
      <c r="I23" s="425"/>
      <c r="J23" s="423"/>
      <c r="K23" s="425"/>
      <c r="L23" s="425"/>
      <c r="M23" s="425"/>
      <c r="N23" s="423"/>
      <c r="O23" s="425"/>
      <c r="P23" s="425"/>
      <c r="Q23" s="425"/>
      <c r="R23" s="423"/>
      <c r="S23" s="425"/>
      <c r="T23" s="425"/>
      <c r="U23" s="425"/>
      <c r="V23" s="423"/>
      <c r="W23" s="425"/>
      <c r="X23" s="425"/>
      <c r="Y23" s="425"/>
      <c r="Z23" s="425"/>
      <c r="AA23" s="425"/>
      <c r="AB23" s="425"/>
    </row>
    <row r="24" spans="1:28" ht="16" x14ac:dyDescent="0.45">
      <c r="A24" s="423"/>
      <c r="B24" s="423"/>
      <c r="C24" s="425"/>
      <c r="D24" s="425"/>
      <c r="E24" s="425"/>
      <c r="F24" s="423"/>
      <c r="G24" s="425"/>
      <c r="H24" s="425"/>
      <c r="I24" s="425"/>
      <c r="J24" s="423"/>
      <c r="K24" s="425"/>
      <c r="L24" s="425"/>
      <c r="M24" s="425"/>
      <c r="N24" s="423"/>
      <c r="O24" s="425"/>
      <c r="P24" s="425"/>
      <c r="Q24" s="425"/>
      <c r="R24" s="423"/>
      <c r="S24" s="425"/>
      <c r="T24" s="425"/>
      <c r="U24" s="425"/>
      <c r="V24" s="423"/>
      <c r="W24" s="425"/>
      <c r="X24" s="425"/>
      <c r="Y24" s="425"/>
      <c r="Z24" s="425"/>
      <c r="AA24" s="425"/>
      <c r="AB24" s="425"/>
    </row>
    <row r="25" spans="1:28" ht="16" x14ac:dyDescent="0.45">
      <c r="A25" s="423"/>
      <c r="B25" s="423"/>
      <c r="C25" s="425"/>
      <c r="D25" s="425"/>
      <c r="E25" s="425"/>
      <c r="F25" s="423"/>
      <c r="G25" s="425"/>
      <c r="H25" s="425"/>
      <c r="I25" s="425"/>
      <c r="J25" s="423"/>
      <c r="K25" s="425"/>
      <c r="L25" s="425"/>
      <c r="M25" s="425"/>
      <c r="N25" s="423"/>
      <c r="O25" s="425"/>
      <c r="P25" s="425"/>
      <c r="Q25" s="425"/>
      <c r="R25" s="423"/>
      <c r="S25" s="425"/>
      <c r="T25" s="425"/>
      <c r="U25" s="425"/>
      <c r="V25" s="423"/>
      <c r="W25" s="425"/>
      <c r="X25" s="425"/>
      <c r="Y25" s="425"/>
      <c r="Z25" s="425"/>
      <c r="AA25" s="425"/>
      <c r="AB25" s="425"/>
    </row>
    <row r="26" spans="1:28" ht="16" x14ac:dyDescent="0.45">
      <c r="A26" s="423"/>
      <c r="B26" s="423"/>
      <c r="C26" s="425"/>
      <c r="D26" s="425"/>
      <c r="E26" s="425"/>
      <c r="F26" s="423"/>
      <c r="G26" s="425"/>
      <c r="H26" s="425"/>
      <c r="I26" s="425"/>
      <c r="J26" s="423"/>
      <c r="K26" s="425"/>
      <c r="L26" s="425"/>
      <c r="M26" s="425"/>
      <c r="N26" s="423"/>
      <c r="O26" s="425"/>
      <c r="P26" s="425"/>
      <c r="Q26" s="425"/>
      <c r="R26" s="423"/>
      <c r="S26" s="425"/>
      <c r="T26" s="425"/>
      <c r="U26" s="425"/>
      <c r="V26" s="423"/>
      <c r="W26" s="425"/>
      <c r="X26" s="425"/>
      <c r="Y26" s="425"/>
      <c r="Z26" s="425"/>
      <c r="AA26" s="425"/>
      <c r="AB26" s="425"/>
    </row>
    <row r="27" spans="1:28" ht="16" x14ac:dyDescent="0.45">
      <c r="A27" s="423"/>
      <c r="B27" s="423"/>
      <c r="C27" s="425"/>
      <c r="D27" s="425"/>
      <c r="E27" s="425"/>
      <c r="F27" s="423"/>
      <c r="G27" s="425"/>
      <c r="H27" s="425"/>
      <c r="I27" s="425"/>
      <c r="J27" s="423"/>
      <c r="K27" s="425"/>
      <c r="L27" s="425"/>
      <c r="M27" s="425"/>
      <c r="N27" s="423"/>
      <c r="O27" s="425"/>
      <c r="P27" s="425"/>
      <c r="Q27" s="425"/>
      <c r="R27" s="423"/>
      <c r="S27" s="425"/>
      <c r="T27" s="425"/>
      <c r="U27" s="425"/>
      <c r="V27" s="423"/>
      <c r="W27" s="425"/>
      <c r="X27" s="425"/>
      <c r="Y27" s="425"/>
      <c r="Z27" s="425"/>
      <c r="AA27" s="425"/>
      <c r="AB27" s="425"/>
    </row>
    <row r="28" spans="1:28" ht="16" x14ac:dyDescent="0.45">
      <c r="A28" s="423"/>
      <c r="B28" s="423"/>
      <c r="C28" s="425"/>
      <c r="D28" s="425"/>
      <c r="E28" s="425"/>
      <c r="F28" s="423"/>
      <c r="G28" s="425"/>
      <c r="H28" s="425"/>
      <c r="I28" s="425"/>
      <c r="J28" s="423"/>
      <c r="K28" s="425"/>
      <c r="L28" s="425"/>
      <c r="M28" s="425"/>
      <c r="N28" s="423"/>
      <c r="O28" s="425"/>
      <c r="P28" s="425"/>
      <c r="Q28" s="425"/>
      <c r="R28" s="423"/>
      <c r="S28" s="425"/>
      <c r="T28" s="425"/>
      <c r="U28" s="425"/>
      <c r="V28" s="423"/>
      <c r="W28" s="425"/>
      <c r="X28" s="425"/>
      <c r="Y28" s="425"/>
      <c r="Z28" s="425"/>
      <c r="AA28" s="425"/>
      <c r="AB28" s="425"/>
    </row>
    <row r="29" spans="1:28" ht="16" x14ac:dyDescent="0.45">
      <c r="A29" s="423"/>
      <c r="B29" s="423"/>
      <c r="C29" s="425"/>
      <c r="D29" s="425"/>
      <c r="E29" s="425"/>
      <c r="F29" s="423"/>
      <c r="G29" s="425"/>
      <c r="H29" s="425"/>
      <c r="I29" s="425"/>
      <c r="J29" s="423"/>
      <c r="K29" s="425"/>
      <c r="L29" s="425"/>
      <c r="M29" s="425"/>
      <c r="N29" s="423"/>
      <c r="O29" s="425"/>
      <c r="P29" s="425"/>
      <c r="Q29" s="425"/>
      <c r="R29" s="423"/>
      <c r="S29" s="425"/>
      <c r="T29" s="425"/>
      <c r="U29" s="425"/>
      <c r="V29" s="423"/>
      <c r="W29" s="425"/>
      <c r="X29" s="425"/>
      <c r="Y29" s="425"/>
      <c r="Z29" s="425"/>
      <c r="AA29" s="425"/>
      <c r="AB29" s="425"/>
    </row>
    <row r="30" spans="1:28" ht="16" x14ac:dyDescent="0.45">
      <c r="A30" s="423"/>
      <c r="B30" s="423"/>
      <c r="C30" s="425"/>
      <c r="D30" s="425"/>
      <c r="E30" s="425"/>
      <c r="F30" s="423"/>
      <c r="G30" s="425"/>
      <c r="H30" s="425"/>
      <c r="I30" s="425"/>
      <c r="J30" s="423"/>
      <c r="K30" s="425"/>
      <c r="L30" s="425"/>
      <c r="M30" s="425"/>
      <c r="N30" s="423"/>
      <c r="O30" s="425"/>
      <c r="P30" s="425"/>
      <c r="Q30" s="425"/>
      <c r="R30" s="423"/>
      <c r="S30" s="425"/>
      <c r="T30" s="425"/>
      <c r="U30" s="425"/>
      <c r="V30" s="423"/>
      <c r="W30" s="425"/>
      <c r="X30" s="425"/>
      <c r="Y30" s="425"/>
      <c r="Z30" s="425"/>
      <c r="AA30" s="425"/>
      <c r="AB30" s="425"/>
    </row>
    <row r="31" spans="1:28" ht="16" x14ac:dyDescent="0.45">
      <c r="A31" s="423"/>
      <c r="B31" s="423"/>
      <c r="C31" s="425"/>
      <c r="D31" s="425"/>
      <c r="E31" s="425"/>
      <c r="F31" s="423"/>
      <c r="G31" s="425"/>
      <c r="H31" s="425"/>
      <c r="I31" s="425"/>
      <c r="J31" s="423"/>
      <c r="K31" s="425"/>
      <c r="L31" s="425"/>
      <c r="M31" s="425"/>
      <c r="N31" s="423"/>
      <c r="O31" s="425"/>
      <c r="P31" s="425"/>
      <c r="Q31" s="425"/>
      <c r="R31" s="423"/>
      <c r="S31" s="425"/>
      <c r="T31" s="425"/>
      <c r="U31" s="425"/>
      <c r="V31" s="423"/>
      <c r="W31" s="425"/>
      <c r="X31" s="425"/>
      <c r="Y31" s="425"/>
      <c r="Z31" s="425"/>
      <c r="AA31" s="425"/>
      <c r="AB31" s="425"/>
    </row>
    <row r="32" spans="1:28" ht="16" x14ac:dyDescent="0.45">
      <c r="A32" s="423"/>
      <c r="B32" s="423"/>
      <c r="C32" s="425"/>
      <c r="D32" s="425"/>
      <c r="E32" s="425"/>
      <c r="F32" s="423"/>
      <c r="G32" s="425"/>
      <c r="H32" s="425"/>
      <c r="I32" s="425"/>
      <c r="J32" s="423"/>
      <c r="K32" s="425"/>
      <c r="L32" s="425"/>
      <c r="M32" s="425"/>
      <c r="N32" s="423"/>
      <c r="O32" s="425"/>
      <c r="P32" s="425"/>
      <c r="Q32" s="425"/>
      <c r="R32" s="423"/>
      <c r="S32" s="425"/>
      <c r="T32" s="425"/>
      <c r="U32" s="425"/>
      <c r="V32" s="423"/>
      <c r="W32" s="425"/>
      <c r="X32" s="425"/>
      <c r="Y32" s="425"/>
      <c r="Z32" s="425"/>
      <c r="AA32" s="425"/>
      <c r="AB32" s="425"/>
    </row>
  </sheetData>
  <sheetProtection algorithmName="SHA-512" hashValue="6/I6nd26QCZMBjtrkqahU/uJmTxYjKNtd3fzRJd7zJ8LlSea2XHJjZ0MOWAaXiTYm2Tep01IjzXQftX5xHnmDQ==" saltValue="+eOGlPWdL/wmD2hPzvpmCQ==" spinCount="100000" sheet="1" objects="1" scenarios="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45</vt:i4>
      </vt:variant>
      <vt:variant>
        <vt:lpstr>Named Ranges</vt:lpstr>
      </vt:variant>
      <vt:variant>
        <vt:i4>2</vt:i4>
      </vt:variant>
    </vt:vector>
  </HeadingPairs>
  <TitlesOfParts>
    <vt:vector size="47" baseType="lpstr">
      <vt:lpstr>Cover</vt:lpstr>
      <vt:lpstr>Table of Content</vt:lpstr>
      <vt:lpstr>Shortcuts</vt:lpstr>
      <vt:lpstr>HR Data</vt:lpstr>
      <vt:lpstr>Application -HR Data</vt:lpstr>
      <vt:lpstr>Referencing</vt:lpstr>
      <vt:lpstr>Branch A</vt:lpstr>
      <vt:lpstr>Branch B</vt:lpstr>
      <vt:lpstr>Branch C</vt:lpstr>
      <vt:lpstr>All Branch</vt:lpstr>
      <vt:lpstr>Data -Logic</vt:lpstr>
      <vt:lpstr>Data -Lookup</vt:lpstr>
      <vt:lpstr>Text Functions-Overview</vt:lpstr>
      <vt:lpstr>Text Functions-Practice</vt:lpstr>
      <vt:lpstr>Goal Seek</vt:lpstr>
      <vt:lpstr>Solver</vt:lpstr>
      <vt:lpstr>Scenario Manager</vt:lpstr>
      <vt:lpstr>Data Tables</vt:lpstr>
      <vt:lpstr>Top 5 Countries</vt:lpstr>
      <vt:lpstr>Top 3 Managers</vt:lpstr>
      <vt:lpstr>Dashboard</vt:lpstr>
      <vt:lpstr>Fees by Cargo</vt:lpstr>
      <vt:lpstr>Port Analysis</vt:lpstr>
      <vt:lpstr>Fees by month</vt:lpstr>
      <vt:lpstr>DATA</vt:lpstr>
      <vt:lpstr>Note Gallery</vt:lpstr>
      <vt:lpstr>Notes -Introduction to Excel</vt:lpstr>
      <vt:lpstr>Notes -Referencing</vt:lpstr>
      <vt:lpstr>Notes -Tables</vt:lpstr>
      <vt:lpstr>Notes -Aggregating Functions</vt:lpstr>
      <vt:lpstr>Notes -Logic Functions</vt:lpstr>
      <vt:lpstr>Notes -Lookup Functions</vt:lpstr>
      <vt:lpstr>Notes -Text Functions</vt:lpstr>
      <vt:lpstr>Notes -Dates &amp; Time Functions</vt:lpstr>
      <vt:lpstr>Notes -Financial Functions</vt:lpstr>
      <vt:lpstr>Notes -Goal Seek, Solver</vt:lpstr>
      <vt:lpstr>Notes -Pivot Table</vt:lpstr>
      <vt:lpstr>Assignment Gallery</vt:lpstr>
      <vt:lpstr>Assignment-Sales Data</vt:lpstr>
      <vt:lpstr>Assignment-Budget</vt:lpstr>
      <vt:lpstr>Assignment-Logic</vt:lpstr>
      <vt:lpstr>Assignment-Lookup</vt:lpstr>
      <vt:lpstr>Assignment-Text</vt:lpstr>
      <vt:lpstr>Video Gallery</vt:lpstr>
      <vt:lpstr>About Us</vt:lpstr>
      <vt:lpstr>C.Rate</vt:lpstr>
      <vt:lpstr>Commission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kazussah mmabun veronica</cp:lastModifiedBy>
  <dcterms:created xsi:type="dcterms:W3CDTF">2015-06-05T18:17:20Z</dcterms:created>
  <dcterms:modified xsi:type="dcterms:W3CDTF">2023-04-07T09:26:58Z</dcterms:modified>
</cp:coreProperties>
</file>