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eron\Desktop\ADP\"/>
    </mc:Choice>
  </mc:AlternateContent>
  <xr:revisionPtr revIDLastSave="0" documentId="13_ncr:1_{4C2CD289-43BE-4D3A-867A-CD984FCF06A4}" xr6:coauthVersionLast="47" xr6:coauthVersionMax="47" xr10:uidLastSave="{00000000-0000-0000-0000-000000000000}"/>
  <bookViews>
    <workbookView xWindow="-120" yWindow="-120" windowWidth="29040" windowHeight="15720" activeTab="1" xr2:uid="{AC5B78D7-3FF1-4016-A913-450A050547F8}"/>
  </bookViews>
  <sheets>
    <sheet name="List1" sheetId="1" r:id="rId1"/>
    <sheet name="Výpočty" sheetId="3" r:id="rId2"/>
    <sheet name="Vizualizace_černá verze" sheetId="9" r:id="rId3"/>
    <sheet name="Světlá verze" sheetId="8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4" i="3" l="1"/>
  <c r="O54" i="3"/>
  <c r="N54" i="3"/>
  <c r="M54" i="3"/>
  <c r="L54" i="3"/>
  <c r="K54" i="3"/>
  <c r="J54" i="3"/>
  <c r="I54" i="3"/>
  <c r="H54" i="3"/>
  <c r="G54" i="3"/>
  <c r="P53" i="3"/>
  <c r="O53" i="3"/>
  <c r="N53" i="3"/>
  <c r="M53" i="3"/>
  <c r="L53" i="3"/>
  <c r="K53" i="3"/>
  <c r="J53" i="3"/>
  <c r="I53" i="3"/>
  <c r="H53" i="3"/>
  <c r="G53" i="3"/>
  <c r="P52" i="3"/>
  <c r="O52" i="3"/>
  <c r="N52" i="3"/>
  <c r="M52" i="3"/>
  <c r="L52" i="3"/>
  <c r="K52" i="3"/>
  <c r="J52" i="3"/>
  <c r="I52" i="3"/>
  <c r="H52" i="3"/>
  <c r="G52" i="3"/>
  <c r="P51" i="3"/>
  <c r="O51" i="3"/>
  <c r="N51" i="3"/>
  <c r="M51" i="3"/>
  <c r="L51" i="3"/>
  <c r="K51" i="3"/>
  <c r="J51" i="3"/>
  <c r="I51" i="3"/>
  <c r="H51" i="3"/>
  <c r="G51" i="3"/>
  <c r="P50" i="3"/>
  <c r="O50" i="3"/>
  <c r="N50" i="3"/>
  <c r="M50" i="3"/>
  <c r="L50" i="3"/>
  <c r="K50" i="3"/>
  <c r="J50" i="3"/>
  <c r="I50" i="3"/>
  <c r="H50" i="3"/>
  <c r="G50" i="3"/>
  <c r="P49" i="3"/>
  <c r="O49" i="3"/>
  <c r="N49" i="3"/>
  <c r="M49" i="3"/>
  <c r="L49" i="3"/>
  <c r="K49" i="3"/>
  <c r="J49" i="3"/>
  <c r="I49" i="3"/>
  <c r="H49" i="3"/>
  <c r="G49" i="3"/>
  <c r="P48" i="3"/>
  <c r="O48" i="3"/>
  <c r="N48" i="3"/>
  <c r="M48" i="3"/>
  <c r="L48" i="3"/>
  <c r="K48" i="3"/>
  <c r="J48" i="3"/>
  <c r="I48" i="3"/>
  <c r="H48" i="3"/>
  <c r="G48" i="3"/>
  <c r="P47" i="3"/>
  <c r="O47" i="3"/>
  <c r="N47" i="3"/>
  <c r="M47" i="3"/>
  <c r="L47" i="3"/>
  <c r="K47" i="3"/>
  <c r="J47" i="3"/>
  <c r="I47" i="3"/>
  <c r="H47" i="3"/>
  <c r="G47" i="3"/>
  <c r="P46" i="3"/>
  <c r="O46" i="3"/>
  <c r="N46" i="3"/>
  <c r="M46" i="3"/>
  <c r="L46" i="3"/>
  <c r="K46" i="3"/>
  <c r="J46" i="3"/>
  <c r="I46" i="3"/>
  <c r="H46" i="3"/>
  <c r="G46" i="3"/>
  <c r="P45" i="3"/>
  <c r="O45" i="3"/>
  <c r="N45" i="3"/>
  <c r="M45" i="3"/>
  <c r="L45" i="3"/>
  <c r="K45" i="3"/>
  <c r="J45" i="3"/>
  <c r="I45" i="3"/>
  <c r="H45" i="3"/>
  <c r="G45" i="3"/>
  <c r="P44" i="3"/>
  <c r="O44" i="3"/>
  <c r="N44" i="3"/>
  <c r="M44" i="3"/>
  <c r="L44" i="3"/>
  <c r="K44" i="3"/>
  <c r="J44" i="3"/>
  <c r="I44" i="3"/>
  <c r="H44" i="3"/>
  <c r="G44" i="3"/>
  <c r="P43" i="3"/>
  <c r="O43" i="3"/>
  <c r="N43" i="3"/>
  <c r="M43" i="3"/>
  <c r="L43" i="3"/>
  <c r="K43" i="3"/>
  <c r="J43" i="3"/>
  <c r="I43" i="3"/>
  <c r="H43" i="3"/>
  <c r="G43" i="3"/>
  <c r="P42" i="3"/>
  <c r="O42" i="3"/>
  <c r="N42" i="3"/>
  <c r="M42" i="3"/>
  <c r="L42" i="3"/>
  <c r="K42" i="3"/>
  <c r="J42" i="3"/>
  <c r="I42" i="3"/>
  <c r="H42" i="3"/>
  <c r="G42" i="3"/>
  <c r="P36" i="3"/>
  <c r="O36" i="3"/>
  <c r="N36" i="3"/>
  <c r="M36" i="3"/>
  <c r="L36" i="3"/>
  <c r="K36" i="3"/>
  <c r="J36" i="3"/>
  <c r="I36" i="3"/>
  <c r="H36" i="3"/>
  <c r="G36" i="3"/>
  <c r="P35" i="3"/>
  <c r="O35" i="3"/>
  <c r="N35" i="3"/>
  <c r="M35" i="3"/>
  <c r="L35" i="3"/>
  <c r="K35" i="3"/>
  <c r="J35" i="3"/>
  <c r="I35" i="3"/>
  <c r="H35" i="3"/>
  <c r="G35" i="3"/>
  <c r="P34" i="3"/>
  <c r="O34" i="3"/>
  <c r="N34" i="3"/>
  <c r="M34" i="3"/>
  <c r="L34" i="3"/>
  <c r="K34" i="3"/>
  <c r="J34" i="3"/>
  <c r="I34" i="3"/>
  <c r="H34" i="3"/>
  <c r="G34" i="3"/>
  <c r="P33" i="3"/>
  <c r="O33" i="3"/>
  <c r="N33" i="3"/>
  <c r="M33" i="3"/>
  <c r="L33" i="3"/>
  <c r="K33" i="3"/>
  <c r="J33" i="3"/>
  <c r="I33" i="3"/>
  <c r="H33" i="3"/>
  <c r="G33" i="3"/>
  <c r="P32" i="3"/>
  <c r="O32" i="3"/>
  <c r="N32" i="3"/>
  <c r="M32" i="3"/>
  <c r="L32" i="3"/>
  <c r="K32" i="3"/>
  <c r="J32" i="3"/>
  <c r="I32" i="3"/>
  <c r="H32" i="3"/>
  <c r="G32" i="3"/>
  <c r="P31" i="3"/>
  <c r="O31" i="3"/>
  <c r="N31" i="3"/>
  <c r="M31" i="3"/>
  <c r="L31" i="3"/>
  <c r="K31" i="3"/>
  <c r="J31" i="3"/>
  <c r="I31" i="3"/>
  <c r="H31" i="3"/>
  <c r="G31" i="3"/>
  <c r="P30" i="3"/>
  <c r="O30" i="3"/>
  <c r="N30" i="3"/>
  <c r="M30" i="3"/>
  <c r="L30" i="3"/>
  <c r="K30" i="3"/>
  <c r="J30" i="3"/>
  <c r="I30" i="3"/>
  <c r="H30" i="3"/>
  <c r="G30" i="3"/>
  <c r="P29" i="3"/>
  <c r="O29" i="3"/>
  <c r="N29" i="3"/>
  <c r="M29" i="3"/>
  <c r="L29" i="3"/>
  <c r="K29" i="3"/>
  <c r="J29" i="3"/>
  <c r="I29" i="3"/>
  <c r="H29" i="3"/>
  <c r="G29" i="3"/>
  <c r="P28" i="3"/>
  <c r="O28" i="3"/>
  <c r="N28" i="3"/>
  <c r="M28" i="3"/>
  <c r="L28" i="3"/>
  <c r="K28" i="3"/>
  <c r="J28" i="3"/>
  <c r="I28" i="3"/>
  <c r="H28" i="3"/>
  <c r="G28" i="3"/>
  <c r="P27" i="3"/>
  <c r="O27" i="3"/>
  <c r="N27" i="3"/>
  <c r="M27" i="3"/>
  <c r="L27" i="3"/>
  <c r="K27" i="3"/>
  <c r="J27" i="3"/>
  <c r="I27" i="3"/>
  <c r="H27" i="3"/>
  <c r="G27" i="3"/>
  <c r="P26" i="3"/>
  <c r="O26" i="3"/>
  <c r="N26" i="3"/>
  <c r="M26" i="3"/>
  <c r="L26" i="3"/>
  <c r="K26" i="3"/>
  <c r="J26" i="3"/>
  <c r="I26" i="3"/>
  <c r="H26" i="3"/>
  <c r="G26" i="3"/>
  <c r="P25" i="3"/>
  <c r="O25" i="3"/>
  <c r="N25" i="3"/>
  <c r="M25" i="3"/>
  <c r="L25" i="3"/>
  <c r="K25" i="3"/>
  <c r="J25" i="3"/>
  <c r="I25" i="3"/>
  <c r="H25" i="3"/>
  <c r="G25" i="3"/>
  <c r="P24" i="3"/>
  <c r="O24" i="3"/>
  <c r="N24" i="3"/>
  <c r="M24" i="3"/>
  <c r="L24" i="3"/>
  <c r="K24" i="3"/>
  <c r="J24" i="3"/>
  <c r="I24" i="3"/>
  <c r="H24" i="3"/>
  <c r="G24" i="3"/>
</calcChain>
</file>

<file path=xl/sharedStrings.xml><?xml version="1.0" encoding="utf-8"?>
<sst xmlns="http://schemas.openxmlformats.org/spreadsheetml/2006/main" count="1182" uniqueCount="62">
  <si>
    <t>OŘ</t>
  </si>
  <si>
    <t>v ADP</t>
  </si>
  <si>
    <t>funkce</t>
  </si>
  <si>
    <t>CDP Praha</t>
  </si>
  <si>
    <t>prov.dispečer</t>
  </si>
  <si>
    <t>OŘ Hr.Králové</t>
  </si>
  <si>
    <t>výpravčí</t>
  </si>
  <si>
    <t>CDP Přerov</t>
  </si>
  <si>
    <t>OŘ Praha</t>
  </si>
  <si>
    <t>OŘ Brno</t>
  </si>
  <si>
    <t>operátorka</t>
  </si>
  <si>
    <t>signalista</t>
  </si>
  <si>
    <t>OŘ Plzeň</t>
  </si>
  <si>
    <t>trať.dispečer</t>
  </si>
  <si>
    <t>stan.dozorce</t>
  </si>
  <si>
    <t>systém.spec.</t>
  </si>
  <si>
    <t>OŘ Ústí n.L</t>
  </si>
  <si>
    <t>OŘ Ostrava</t>
  </si>
  <si>
    <t>dozorčí</t>
  </si>
  <si>
    <t>ZKK</t>
  </si>
  <si>
    <t xml:space="preserve">výpravčí </t>
  </si>
  <si>
    <t>dozorce výh.</t>
  </si>
  <si>
    <t>dozorčí prov.</t>
  </si>
  <si>
    <t>dirig. Disp.</t>
  </si>
  <si>
    <t>dispečer</t>
  </si>
  <si>
    <t>operátor</t>
  </si>
  <si>
    <t>Výpravčí</t>
  </si>
  <si>
    <t>vypravčí</t>
  </si>
  <si>
    <t>GŘ</t>
  </si>
  <si>
    <t>uklizečka</t>
  </si>
  <si>
    <t>doz.provozu</t>
  </si>
  <si>
    <t>prac.údržby</t>
  </si>
  <si>
    <t>hlídač</t>
  </si>
  <si>
    <t>směn.dozorčí</t>
  </si>
  <si>
    <t>IŽD</t>
  </si>
  <si>
    <t>hradlář</t>
  </si>
  <si>
    <t>VÝPRAVČÍ</t>
  </si>
  <si>
    <t>ostraha</t>
  </si>
  <si>
    <t>ID</t>
  </si>
  <si>
    <t>Popisky řádků</t>
  </si>
  <si>
    <t>Celkový součet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</si>
  <si>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</si>
  <si>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</si>
  <si>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</si>
  <si>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</si>
  <si>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</si>
  <si>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</si>
  <si>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</si>
  <si>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</si>
  <si>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</si>
  <si>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</si>
  <si>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</si>
  <si>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</si>
  <si>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</si>
  <si>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Počet z ID</t>
  </si>
  <si>
    <t>Popisky sloupců</t>
  </si>
  <si>
    <t>Rok</t>
  </si>
  <si>
    <t>Počet členů celkem</t>
  </si>
  <si>
    <t>%</t>
  </si>
  <si>
    <t>Počet členů celkem a dle OŘ</t>
  </si>
  <si>
    <t>Počet členů dle OŘ v %</t>
  </si>
  <si>
    <t>Počet nový členů dle ŘO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</si>
</sst>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65" fontId="0" fillId="0" borderId="0" xfId="0" applyNumberFormat="1"/>
  </cellXfs>
  <cellStyles count="1">
    <cellStyle name="Normální" xfId="0" builtinId="0"/>
  </cellStyles>
  <dxfs count="3">
    <dxf>
      <numFmt numFmtId="165" formatCode="0.0"/>
    </dxf>
    <dxf>
      <numFmt numFmtId="164" formatCode="dd\.mm\.yyyy"/>
    </dxf>
    <dxf>
      <numFmt numFmtId="30" formatCode="@"/>
    </dxf>
  </dxfs>
  <tableStyles count="0" defaultTableStyle="TableStyleMedium2" defaultPivotStyle="PivotStyleLight16"/>
  <colors>
    <mruColors>
      <color rgb="FFFFC000"/>
      <color rgb="FFCE8E8E"/>
      <color rgb="FF7E1F86"/>
      <color rgb="FF33CCCC"/>
      <color rgb="FF5B9BD5"/>
      <color rgb="FFF1DEDE"/>
      <color rgb="FF0000FF"/>
      <color rgb="FFED7D31"/>
      <color rgb="FFFF33CC"/>
      <color rgb="FFE1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[ADP_data.xlsx]Výpočty!Kontingenční tabulka1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cs-CZ"/>
              <a:t>Počet příchozích členů</a:t>
            </a:r>
            <a:endParaRPr lang="en-US"/>
          </a:p>
        </c:rich>
      </c:tx>
      <c:layout>
        <c:manualLayout>
          <c:xMode val="edge"/>
          <c:yMode val="edge"/>
          <c:x val="0.34469076714249491"/>
          <c:y val="6.14942503692923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828414290293597E-2"/>
          <c:y val="0.21576905525861001"/>
          <c:w val="0.74720884041939695"/>
          <c:h val="0.62787700524189516"/>
        </c:manualLayout>
      </c:layout>
      <c:lineChart>
        <c:grouping val="standard"/>
        <c:varyColors val="0"/>
        <c:ser>
          <c:idx val="0"/>
          <c:order val="0"/>
          <c:tx>
            <c:strRef>
              <c:f>Výpočty!$C$3</c:f>
              <c:strCache>
                <c:ptCount val="1"/>
                <c:pt idx="0">
                  <c:v>Celkem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Výpočty!$B$4:$B$17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Výpočty!$C$4:$C$17</c:f>
              <c:numCache>
                <c:formatCode>General</c:formatCode>
                <c:ptCount val="13"/>
                <c:pt idx="0">
                  <c:v>112</c:v>
                </c:pt>
                <c:pt idx="1">
                  <c:v>35</c:v>
                </c:pt>
                <c:pt idx="2">
                  <c:v>9</c:v>
                </c:pt>
                <c:pt idx="3">
                  <c:v>7</c:v>
                </c:pt>
                <c:pt idx="4">
                  <c:v>69</c:v>
                </c:pt>
                <c:pt idx="5">
                  <c:v>53</c:v>
                </c:pt>
                <c:pt idx="6">
                  <c:v>59</c:v>
                </c:pt>
                <c:pt idx="7">
                  <c:v>46</c:v>
                </c:pt>
                <c:pt idx="8">
                  <c:v>31</c:v>
                </c:pt>
                <c:pt idx="9">
                  <c:v>50</c:v>
                </c:pt>
                <c:pt idx="10">
                  <c:v>45</c:v>
                </c:pt>
                <c:pt idx="11">
                  <c:v>39</c:v>
                </c:pt>
                <c:pt idx="1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28-430C-9710-C12AF18A2E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0915071"/>
        <c:axId val="1180915551"/>
      </c:lineChart>
      <c:catAx>
        <c:axId val="118091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80915551"/>
        <c:crosses val="autoZero"/>
        <c:auto val="1"/>
        <c:lblAlgn val="ctr"/>
        <c:lblOffset val="100"/>
        <c:noMultiLvlLbl val="0"/>
      </c:catAx>
      <c:valAx>
        <c:axId val="118091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8091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[ADP_data.xlsx]Výpočty!Kontingenční tabulka2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Počet příchozích dle OŘ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Výpočty!$G$3:$G$4</c:f>
              <c:strCache>
                <c:ptCount val="1"/>
                <c:pt idx="0">
                  <c:v>CDP Praha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Výpočty!$F$5:$F$18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Výpočty!$G$5:$G$18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9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DB-4A0F-BC9A-1731256C734B}"/>
            </c:ext>
          </c:extLst>
        </c:ser>
        <c:ser>
          <c:idx val="1"/>
          <c:order val="1"/>
          <c:tx>
            <c:strRef>
              <c:f>Výpočty!$H$3:$H$4</c:f>
              <c:strCache>
                <c:ptCount val="1"/>
                <c:pt idx="0">
                  <c:v>CDP Přerov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Výpočty!$F$5:$F$18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Výpočty!$H$5:$H$18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DB-4A0F-BC9A-1731256C734B}"/>
            </c:ext>
          </c:extLst>
        </c:ser>
        <c:ser>
          <c:idx val="2"/>
          <c:order val="2"/>
          <c:tx>
            <c:strRef>
              <c:f>Výpočty!$I$3:$I$4</c:f>
              <c:strCache>
                <c:ptCount val="1"/>
                <c:pt idx="0">
                  <c:v>GŘ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Výpočty!$F$5:$F$18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Výpočty!$I$5:$I$18</c:f>
              <c:numCache>
                <c:formatCode>General</c:formatCode>
                <c:ptCount val="13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DB-4A0F-BC9A-1731256C734B}"/>
            </c:ext>
          </c:extLst>
        </c:ser>
        <c:ser>
          <c:idx val="3"/>
          <c:order val="3"/>
          <c:tx>
            <c:strRef>
              <c:f>Výpočty!$J$3:$J$4</c:f>
              <c:strCache>
                <c:ptCount val="1"/>
                <c:pt idx="0">
                  <c:v>OŘ Brno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Výpočty!$F$5:$F$18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Výpočty!$J$5:$J$18</c:f>
              <c:numCache>
                <c:formatCode>General</c:formatCode>
                <c:ptCount val="13"/>
                <c:pt idx="0">
                  <c:v>1</c:v>
                </c:pt>
                <c:pt idx="1">
                  <c:v>25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18</c:v>
                </c:pt>
                <c:pt idx="6">
                  <c:v>12</c:v>
                </c:pt>
                <c:pt idx="7">
                  <c:v>6</c:v>
                </c:pt>
                <c:pt idx="8">
                  <c:v>2</c:v>
                </c:pt>
                <c:pt idx="9">
                  <c:v>8</c:v>
                </c:pt>
                <c:pt idx="10">
                  <c:v>5</c:v>
                </c:pt>
                <c:pt idx="11">
                  <c:v>8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DB-4A0F-BC9A-1731256C734B}"/>
            </c:ext>
          </c:extLst>
        </c:ser>
        <c:ser>
          <c:idx val="4"/>
          <c:order val="4"/>
          <c:tx>
            <c:strRef>
              <c:f>Výpočty!$K$3:$K$4</c:f>
              <c:strCache>
                <c:ptCount val="1"/>
                <c:pt idx="0">
                  <c:v>OŘ Hr.Králové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Výpočty!$F$5:$F$18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Výpočty!$K$5:$K$18</c:f>
              <c:numCache>
                <c:formatCode>General</c:formatCode>
                <c:ptCount val="13"/>
                <c:pt idx="0">
                  <c:v>11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6</c:v>
                </c:pt>
                <c:pt idx="7">
                  <c:v>10</c:v>
                </c:pt>
                <c:pt idx="8">
                  <c:v>4</c:v>
                </c:pt>
                <c:pt idx="9">
                  <c:v>8</c:v>
                </c:pt>
                <c:pt idx="10">
                  <c:v>13</c:v>
                </c:pt>
                <c:pt idx="11">
                  <c:v>8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DB-4A0F-BC9A-1731256C734B}"/>
            </c:ext>
          </c:extLst>
        </c:ser>
        <c:ser>
          <c:idx val="5"/>
          <c:order val="5"/>
          <c:tx>
            <c:strRef>
              <c:f>Výpočty!$L$3:$L$4</c:f>
              <c:strCache>
                <c:ptCount val="1"/>
                <c:pt idx="0">
                  <c:v>OŘ Ostrava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Výpočty!$F$5:$F$18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Výpočty!$L$5:$L$18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6</c:v>
                </c:pt>
                <c:pt idx="8">
                  <c:v>3</c:v>
                </c:pt>
                <c:pt idx="9">
                  <c:v>9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DB-4A0F-BC9A-1731256C734B}"/>
            </c:ext>
          </c:extLst>
        </c:ser>
        <c:ser>
          <c:idx val="6"/>
          <c:order val="6"/>
          <c:tx>
            <c:strRef>
              <c:f>Výpočty!$M$3:$M$4</c:f>
              <c:strCache>
                <c:ptCount val="1"/>
                <c:pt idx="0">
                  <c:v>OŘ Plzeň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Výpočty!$F$5:$F$18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Výpočty!$M$5:$M$18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DB-4A0F-BC9A-1731256C734B}"/>
            </c:ext>
          </c:extLst>
        </c:ser>
        <c:ser>
          <c:idx val="7"/>
          <c:order val="7"/>
          <c:tx>
            <c:strRef>
              <c:f>Výpočty!$N$3:$N$4</c:f>
              <c:strCache>
                <c:ptCount val="1"/>
                <c:pt idx="0">
                  <c:v>OŘ Praha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Výpočty!$F$5:$F$18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Výpočty!$N$5:$N$18</c:f>
              <c:numCache>
                <c:formatCode>General</c:formatCode>
                <c:ptCount val="13"/>
                <c:pt idx="0">
                  <c:v>74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12</c:v>
                </c:pt>
                <c:pt idx="5">
                  <c:v>5</c:v>
                </c:pt>
                <c:pt idx="6">
                  <c:v>23</c:v>
                </c:pt>
                <c:pt idx="7">
                  <c:v>11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7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2DB-4A0F-BC9A-1731256C734B}"/>
            </c:ext>
          </c:extLst>
        </c:ser>
        <c:ser>
          <c:idx val="8"/>
          <c:order val="8"/>
          <c:tx>
            <c:strRef>
              <c:f>Výpočty!$O$3:$O$4</c:f>
              <c:strCache>
                <c:ptCount val="1"/>
                <c:pt idx="0">
                  <c:v>OŘ Ústí n.L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Výpočty!$F$5:$F$18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Výpočty!$O$5:$O$18</c:f>
              <c:numCache>
                <c:formatCode>General</c:formatCode>
                <c:ptCount val="13"/>
                <c:pt idx="0">
                  <c:v>19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11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8</c:v>
                </c:pt>
                <c:pt idx="10">
                  <c:v>8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2DB-4A0F-BC9A-1731256C7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126655"/>
        <c:axId val="1181125695"/>
      </c:lineChart>
      <c:catAx>
        <c:axId val="118112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81125695"/>
        <c:crosses val="autoZero"/>
        <c:auto val="1"/>
        <c:lblAlgn val="ctr"/>
        <c:lblOffset val="100"/>
        <c:noMultiLvlLbl val="0"/>
      </c:catAx>
      <c:valAx>
        <c:axId val="118112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81126655"/>
        <c:crosses val="autoZero"/>
        <c:crossBetween val="between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[ADP_data.xlsx]Výpočty!Kontingenční tabulka2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cs-CZ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Počet příchozích dle OŘ</a:t>
            </a:r>
            <a:endParaRPr lang="en-US" baseline="0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ED7D3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0000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F1DED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5B9BD5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33CC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33CC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0000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F1DED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0000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F1DED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rgbClr val="5B9BD5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rgbClr val="33CC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rgbClr val="F1DED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rgbClr val="5B9BD5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9"/>
        <c:spPr>
          <a:solidFill>
            <a:srgbClr val="F1DED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rgbClr val="0000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rgbClr val="33CC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rgbClr val="33CC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rgbClr val="F1DED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rgbClr val="33CC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rgbClr val="F1DED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rgbClr val="F1DED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rgbClr val="0000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rgbClr val="F1DED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rgbClr val="F1DED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1"/>
        <c:spPr>
          <a:solidFill>
            <a:srgbClr val="0000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rgbClr val="ED7D3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rgbClr val="0000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rgbClr val="0000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rgbClr val="0000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rgbClr val="0000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rgbClr val="0000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rgbClr val="0000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rgbClr val="F1DED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rgbClr val="F1DED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rgbClr val="F1DED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rgbClr val="F1DED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rgbClr val="F1DED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rgbClr val="F1DED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rgbClr val="F1DED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rgbClr val="F1DED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rgbClr val="F1DED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rgbClr val="5B9BD5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rgbClr val="5B9BD5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rgbClr val="33CC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rgbClr val="33CC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rgbClr val="33CC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rgbClr val="33CC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rgbClr val="33CC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rgbClr val="33CC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rgbClr val="ED7D3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rgbClr val="0000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rgbClr val="0000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rgbClr val="0000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rgbClr val="0000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rgbClr val="0000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rgbClr val="0000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rgbClr val="CE8E8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rgbClr val="CE8E8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rgbClr val="CE8E8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rgbClr val="CE8E8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rgbClr val="CE8E8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rgbClr val="CE8E8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rgbClr val="CE8E8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rgbClr val="CE8E8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rgbClr val="CE8E8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rgbClr val="5B9BD5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rgbClr val="5B9BD5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rgbClr val="33CC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rgbClr val="33CC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rgbClr val="33CC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rgbClr val="33CC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rgbClr val="33CC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rgbClr val="33CC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rgbClr val="0000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"/>
              <c:y val="6.937115864036771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3678510176379005E-2"/>
          <c:y val="7.6573335826032374E-2"/>
          <c:w val="0.91135551653651281"/>
          <c:h val="0.867938898782084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Výpočty!$G$3:$G$4</c:f>
              <c:strCache>
                <c:ptCount val="1"/>
                <c:pt idx="0">
                  <c:v>CDP Praha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Výpočty!$F$5:$F$18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Výpočty!$G$5:$G$18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9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9-423F-BE4E-A9E455BF0F8C}"/>
            </c:ext>
          </c:extLst>
        </c:ser>
        <c:ser>
          <c:idx val="1"/>
          <c:order val="1"/>
          <c:tx>
            <c:strRef>
              <c:f>Výpočty!$H$3:$H$4</c:f>
              <c:strCache>
                <c:ptCount val="1"/>
                <c:pt idx="0">
                  <c:v>CDP Přerov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979-423F-BE4E-A9E455BF0F8C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C979-423F-BE4E-A9E455BF0F8C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C979-423F-BE4E-A9E455BF0F8C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B-C979-423F-BE4E-A9E455BF0F8C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C979-423F-BE4E-A9E455BF0F8C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C979-423F-BE4E-A9E455BF0F8C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79-423F-BE4E-A9E455BF0F8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79-423F-BE4E-A9E455BF0F8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79-423F-BE4E-A9E455BF0F8C}"/>
                </c:ext>
              </c:extLst>
            </c:dLbl>
            <c:dLbl>
              <c:idx val="9"/>
              <c:layout>
                <c:manualLayout>
                  <c:x val="0"/>
                  <c:y val="6.9371158640367716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C979-423F-BE4E-A9E455BF0F8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979-423F-BE4E-A9E455BF0F8C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979-423F-BE4E-A9E455BF0F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Výpočty!$F$5:$F$18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Výpočty!$H$5:$H$18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79-423F-BE4E-A9E455BF0F8C}"/>
            </c:ext>
          </c:extLst>
        </c:ser>
        <c:ser>
          <c:idx val="2"/>
          <c:order val="2"/>
          <c:tx>
            <c:strRef>
              <c:f>Výpočty!$I$3:$I$4</c:f>
              <c:strCache>
                <c:ptCount val="1"/>
                <c:pt idx="0">
                  <c:v>GŘ</c:v>
                </c:pt>
              </c:strCache>
            </c:strRef>
          </c:tx>
          <c:spPr>
            <a:solidFill>
              <a:srgbClr val="CE8E8E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C979-423F-BE4E-A9E455BF0F8C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C979-423F-BE4E-A9E455BF0F8C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C979-423F-BE4E-A9E455BF0F8C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C979-423F-BE4E-A9E455BF0F8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C979-423F-BE4E-A9E455BF0F8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C979-423F-BE4E-A9E455BF0F8C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C979-423F-BE4E-A9E455BF0F8C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C979-423F-BE4E-A9E455BF0F8C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979-423F-BE4E-A9E455BF0F8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979-423F-BE4E-A9E455BF0F8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979-423F-BE4E-A9E455BF0F8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979-423F-BE4E-A9E455BF0F8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979-423F-BE4E-A9E455BF0F8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979-423F-BE4E-A9E455BF0F8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979-423F-BE4E-A9E455BF0F8C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979-423F-BE4E-A9E455BF0F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Výpočty!$F$5:$F$18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Výpočty!$I$5:$I$18</c:f>
              <c:numCache>
                <c:formatCode>General</c:formatCode>
                <c:ptCount val="13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979-423F-BE4E-A9E455BF0F8C}"/>
            </c:ext>
          </c:extLst>
        </c:ser>
        <c:ser>
          <c:idx val="3"/>
          <c:order val="3"/>
          <c:tx>
            <c:strRef>
              <c:f>Výpočty!$J$3:$J$4</c:f>
              <c:strCache>
                <c:ptCount val="1"/>
                <c:pt idx="0">
                  <c:v>OŘ Brno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C979-423F-BE4E-A9E455BF0F8C}"/>
              </c:ext>
            </c:extLst>
          </c:dPt>
          <c:dLbls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979-423F-BE4E-A9E455BF0F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Výpočty!$F$5:$F$18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Výpočty!$J$5:$J$18</c:f>
              <c:numCache>
                <c:formatCode>General</c:formatCode>
                <c:ptCount val="13"/>
                <c:pt idx="0">
                  <c:v>1</c:v>
                </c:pt>
                <c:pt idx="1">
                  <c:v>25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18</c:v>
                </c:pt>
                <c:pt idx="6">
                  <c:v>12</c:v>
                </c:pt>
                <c:pt idx="7">
                  <c:v>6</c:v>
                </c:pt>
                <c:pt idx="8">
                  <c:v>2</c:v>
                </c:pt>
                <c:pt idx="9">
                  <c:v>8</c:v>
                </c:pt>
                <c:pt idx="10">
                  <c:v>5</c:v>
                </c:pt>
                <c:pt idx="11">
                  <c:v>8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979-423F-BE4E-A9E455BF0F8C}"/>
            </c:ext>
          </c:extLst>
        </c:ser>
        <c:ser>
          <c:idx val="4"/>
          <c:order val="4"/>
          <c:tx>
            <c:strRef>
              <c:f>Výpočty!$K$3:$K$4</c:f>
              <c:strCache>
                <c:ptCount val="1"/>
                <c:pt idx="0">
                  <c:v>OŘ Hr.Králové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C979-423F-BE4E-A9E455BF0F8C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C979-423F-BE4E-A9E455BF0F8C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C979-423F-BE4E-A9E455BF0F8C}"/>
              </c:ext>
            </c:extLst>
          </c:dPt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979-423F-BE4E-A9E455BF0F8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979-423F-BE4E-A9E455BF0F8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979-423F-BE4E-A9E455BF0F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Výpočty!$F$5:$F$18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Výpočty!$K$5:$K$18</c:f>
              <c:numCache>
                <c:formatCode>General</c:formatCode>
                <c:ptCount val="13"/>
                <c:pt idx="0">
                  <c:v>11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6</c:v>
                </c:pt>
                <c:pt idx="7">
                  <c:v>10</c:v>
                </c:pt>
                <c:pt idx="8">
                  <c:v>4</c:v>
                </c:pt>
                <c:pt idx="9">
                  <c:v>8</c:v>
                </c:pt>
                <c:pt idx="10">
                  <c:v>13</c:v>
                </c:pt>
                <c:pt idx="11">
                  <c:v>8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979-423F-BE4E-A9E455BF0F8C}"/>
            </c:ext>
          </c:extLst>
        </c:ser>
        <c:ser>
          <c:idx val="5"/>
          <c:order val="5"/>
          <c:tx>
            <c:strRef>
              <c:f>Výpočty!$L$3:$L$4</c:f>
              <c:strCache>
                <c:ptCount val="1"/>
                <c:pt idx="0">
                  <c:v>OŘ Ostrava</c:v>
                </c:pt>
              </c:strCache>
            </c:strRef>
          </c:tx>
          <c:spPr>
            <a:solidFill>
              <a:srgbClr val="33CCCC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33CCCC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C979-423F-BE4E-A9E455BF0F8C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9-C979-423F-BE4E-A9E455BF0F8C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C979-423F-BE4E-A9E455BF0F8C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C979-423F-BE4E-A9E455BF0F8C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C979-423F-BE4E-A9E455BF0F8C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979-423F-BE4E-A9E455BF0F8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979-423F-BE4E-A9E455BF0F8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979-423F-BE4E-A9E455BF0F8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979-423F-BE4E-A9E455BF0F8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C979-423F-BE4E-A9E455BF0F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Výpočty!$F$5:$F$18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Výpočty!$L$5:$L$18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6</c:v>
                </c:pt>
                <c:pt idx="8">
                  <c:v>3</c:v>
                </c:pt>
                <c:pt idx="9">
                  <c:v>9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979-423F-BE4E-A9E455BF0F8C}"/>
            </c:ext>
          </c:extLst>
        </c:ser>
        <c:ser>
          <c:idx val="6"/>
          <c:order val="6"/>
          <c:tx>
            <c:strRef>
              <c:f>Výpočty!$M$3:$M$4</c:f>
              <c:strCache>
                <c:ptCount val="1"/>
                <c:pt idx="0">
                  <c:v>OŘ Plzeň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C979-423F-BE4E-A9E455BF0F8C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0-C979-423F-BE4E-A9E455BF0F8C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1-C979-423F-BE4E-A9E455BF0F8C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2-C979-423F-BE4E-A9E455BF0F8C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3-C979-423F-BE4E-A9E455BF0F8C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4-C979-423F-BE4E-A9E455BF0F8C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C979-423F-BE4E-A9E455BF0F8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C979-423F-BE4E-A9E455BF0F8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C979-423F-BE4E-A9E455BF0F8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C979-423F-BE4E-A9E455BF0F8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C979-423F-BE4E-A9E455BF0F8C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C979-423F-BE4E-A9E455BF0F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Výpočty!$F$5:$F$18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Výpočty!$M$5:$M$18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C979-423F-BE4E-A9E455BF0F8C}"/>
            </c:ext>
          </c:extLst>
        </c:ser>
        <c:ser>
          <c:idx val="7"/>
          <c:order val="7"/>
          <c:tx>
            <c:strRef>
              <c:f>Výpočty!$N$3:$N$4</c:f>
              <c:strCache>
                <c:ptCount val="1"/>
                <c:pt idx="0">
                  <c:v>OŘ Praha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6-C979-423F-BE4E-A9E455BF0F8C}"/>
              </c:ext>
            </c:extLst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C979-423F-BE4E-A9E455BF0F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Výpočty!$F$5:$F$18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Výpočty!$N$5:$N$18</c:f>
              <c:numCache>
                <c:formatCode>General</c:formatCode>
                <c:ptCount val="13"/>
                <c:pt idx="0">
                  <c:v>74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12</c:v>
                </c:pt>
                <c:pt idx="5">
                  <c:v>5</c:v>
                </c:pt>
                <c:pt idx="6">
                  <c:v>23</c:v>
                </c:pt>
                <c:pt idx="7">
                  <c:v>11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7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C979-423F-BE4E-A9E455BF0F8C}"/>
            </c:ext>
          </c:extLst>
        </c:ser>
        <c:ser>
          <c:idx val="8"/>
          <c:order val="8"/>
          <c:tx>
            <c:strRef>
              <c:f>Výpočty!$O$3:$O$4</c:f>
              <c:strCache>
                <c:ptCount val="1"/>
                <c:pt idx="0">
                  <c:v>OŘ Ústí n.L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8-C979-423F-BE4E-A9E455BF0F8C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9-C979-423F-BE4E-A9E455BF0F8C}"/>
              </c:ext>
            </c:extLst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C979-423F-BE4E-A9E455BF0F8C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C979-423F-BE4E-A9E455BF0F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Výpočty!$F$5:$F$18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Výpočty!$O$5:$O$18</c:f>
              <c:numCache>
                <c:formatCode>General</c:formatCode>
                <c:ptCount val="13"/>
                <c:pt idx="0">
                  <c:v>19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11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8</c:v>
                </c:pt>
                <c:pt idx="10">
                  <c:v>8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C979-423F-BE4E-A9E455BF0F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81126655"/>
        <c:axId val="1181125695"/>
      </c:barChart>
      <c:catAx>
        <c:axId val="118112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81125695"/>
        <c:crosses val="autoZero"/>
        <c:auto val="1"/>
        <c:lblAlgn val="ctr"/>
        <c:lblOffset val="100"/>
        <c:noMultiLvlLbl val="0"/>
      </c:catAx>
      <c:valAx>
        <c:axId val="1181125695"/>
        <c:scaling>
          <c:orientation val="minMax"/>
          <c:max val="1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81126655"/>
        <c:crosses val="autoZero"/>
        <c:crossBetween val="between"/>
        <c:majorUnit val="10"/>
        <c:minorUnit val="1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>
      <a:noFill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Počet členů dle</a:t>
            </a:r>
            <a:r>
              <a:rPr lang="cs-CZ" sz="1800" b="1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OŘ</a:t>
            </a:r>
            <a:endParaRPr lang="en-US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layout>
        <c:manualLayout>
          <c:xMode val="edge"/>
          <c:yMode val="edge"/>
          <c:x val="0.31481876273440784"/>
          <c:y val="3.06911636045494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409721101593839E-2"/>
          <c:y val="0.10774096384779261"/>
          <c:w val="0.80317798991215494"/>
          <c:h val="0.84804394025260521"/>
        </c:manualLayout>
      </c:layout>
      <c:lineChart>
        <c:grouping val="standard"/>
        <c:varyColors val="0"/>
        <c:ser>
          <c:idx val="1"/>
          <c:order val="1"/>
          <c:tx>
            <c:strRef>
              <c:f>Výpočty!$H$23</c:f>
              <c:strCache>
                <c:ptCount val="1"/>
                <c:pt idx="0">
                  <c:v>CDP Praha</c:v>
                </c:pt>
              </c:strCache>
            </c:strRef>
          </c:tx>
          <c:spPr>
            <a:ln w="31750" cap="rnd">
              <a:solidFill>
                <a:schemeClr val="accent2"/>
              </a:solidFill>
            </a:ln>
            <a:effectLst>
              <a:glow rad="889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058-4386-9DCC-0A2635786392}"/>
                </c:ext>
              </c:extLst>
            </c:dLbl>
            <c:dLbl>
              <c:idx val="1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058-4386-9DCC-0A26357863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Výpočty!$F$24:$F$36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Výpočty!$H$24:$H$36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</c:v>
                </c:pt>
                <c:pt idx="5">
                  <c:v>54</c:v>
                </c:pt>
                <c:pt idx="6">
                  <c:v>62</c:v>
                </c:pt>
                <c:pt idx="7">
                  <c:v>67</c:v>
                </c:pt>
                <c:pt idx="8">
                  <c:v>75</c:v>
                </c:pt>
                <c:pt idx="9">
                  <c:v>82</c:v>
                </c:pt>
                <c:pt idx="10">
                  <c:v>89</c:v>
                </c:pt>
                <c:pt idx="11">
                  <c:v>98</c:v>
                </c:pt>
                <c:pt idx="1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58-4386-9DCC-0A2635786392}"/>
            </c:ext>
          </c:extLst>
        </c:ser>
        <c:ser>
          <c:idx val="2"/>
          <c:order val="2"/>
          <c:tx>
            <c:strRef>
              <c:f>Výpočty!$I$23</c:f>
              <c:strCache>
                <c:ptCount val="1"/>
                <c:pt idx="0">
                  <c:v>CDP Přerov</c:v>
                </c:pt>
              </c:strCache>
            </c:strRef>
          </c:tx>
          <c:spPr>
            <a:ln w="31750" cap="rnd">
              <a:solidFill>
                <a:srgbClr val="0000FF"/>
              </a:solidFill>
            </a:ln>
            <a:effectLst>
              <a:glow rad="889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12"/>
              <c:layout>
                <c:manualLayout>
                  <c:x val="-6.3908696111633897E-5"/>
                  <c:y val="-1.04875092372247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058-4386-9DCC-0A26357863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Výpočty!$F$24:$F$36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Výpočty!$I$24:$I$36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58-4386-9DCC-0A2635786392}"/>
            </c:ext>
          </c:extLst>
        </c:ser>
        <c:ser>
          <c:idx val="3"/>
          <c:order val="3"/>
          <c:tx>
            <c:strRef>
              <c:f>Výpočty!$J$23</c:f>
              <c:strCache>
                <c:ptCount val="1"/>
                <c:pt idx="0">
                  <c:v>GŘ</c:v>
                </c:pt>
              </c:strCache>
            </c:strRef>
          </c:tx>
          <c:spPr>
            <a:ln w="31750" cap="rnd">
              <a:solidFill>
                <a:srgbClr val="CE8E8E"/>
              </a:solidFill>
            </a:ln>
            <a:effectLst>
              <a:glow rad="88900">
                <a:srgbClr val="CE8E8E">
                  <a:alpha val="14000"/>
                </a:srgbClr>
              </a:glo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2.5329146558910911E-2"/>
                  <c:y val="-2.410899734298744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058-4386-9DCC-0A2635786392}"/>
                </c:ext>
              </c:extLst>
            </c:dLbl>
            <c:dLbl>
              <c:idx val="12"/>
              <c:layout>
                <c:manualLayout>
                  <c:x val="-2.5361270378203024E-3"/>
                  <c:y val="1.60833121666243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058-4386-9DCC-0A26357863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Výpočty!$F$24:$F$36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Výpočty!$J$24:$J$36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58-4386-9DCC-0A2635786392}"/>
            </c:ext>
          </c:extLst>
        </c:ser>
        <c:ser>
          <c:idx val="4"/>
          <c:order val="4"/>
          <c:tx>
            <c:strRef>
              <c:f>Výpočty!$K$23</c:f>
              <c:strCache>
                <c:ptCount val="1"/>
                <c:pt idx="0">
                  <c:v>OŘ Brno</c:v>
                </c:pt>
              </c:strCache>
            </c:strRef>
          </c:tx>
          <c:spPr>
            <a:ln w="31750" cap="rnd">
              <a:solidFill>
                <a:schemeClr val="accent5"/>
              </a:solidFill>
            </a:ln>
            <a:effectLst>
              <a:glow rad="889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2.0664611094571288E-2"/>
                  <c:y val="-1.0241864928174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058-4386-9DCC-0A2635786392}"/>
                </c:ext>
              </c:extLst>
            </c:dLbl>
            <c:dLbl>
              <c:idx val="1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058-4386-9DCC-0A26357863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Výpočty!$F$24:$F$36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Výpočty!$K$24:$K$36</c:f>
              <c:numCache>
                <c:formatCode>General</c:formatCode>
                <c:ptCount val="13"/>
                <c:pt idx="0">
                  <c:v>1</c:v>
                </c:pt>
                <c:pt idx="1">
                  <c:v>26</c:v>
                </c:pt>
                <c:pt idx="2">
                  <c:v>27</c:v>
                </c:pt>
                <c:pt idx="3">
                  <c:v>29</c:v>
                </c:pt>
                <c:pt idx="4">
                  <c:v>34</c:v>
                </c:pt>
                <c:pt idx="5">
                  <c:v>52</c:v>
                </c:pt>
                <c:pt idx="6">
                  <c:v>64</c:v>
                </c:pt>
                <c:pt idx="7">
                  <c:v>70</c:v>
                </c:pt>
                <c:pt idx="8">
                  <c:v>72</c:v>
                </c:pt>
                <c:pt idx="9">
                  <c:v>80</c:v>
                </c:pt>
                <c:pt idx="10">
                  <c:v>85</c:v>
                </c:pt>
                <c:pt idx="11">
                  <c:v>93</c:v>
                </c:pt>
                <c:pt idx="12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058-4386-9DCC-0A2635786392}"/>
            </c:ext>
          </c:extLst>
        </c:ser>
        <c:ser>
          <c:idx val="5"/>
          <c:order val="5"/>
          <c:tx>
            <c:strRef>
              <c:f>Výpočty!$L$23</c:f>
              <c:strCache>
                <c:ptCount val="1"/>
                <c:pt idx="0">
                  <c:v>OŘ Hr.Králové</c:v>
                </c:pt>
              </c:strCache>
            </c:strRef>
          </c:tx>
          <c:spPr>
            <a:ln w="31750" cap="rnd">
              <a:solidFill>
                <a:schemeClr val="accent6"/>
              </a:solidFill>
            </a:ln>
            <a:effectLst>
              <a:glow rad="889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2.3503989020409E-2"/>
                  <c:y val="-1.20339796235148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058-4386-9DCC-0A2635786392}"/>
                </c:ext>
              </c:extLst>
            </c:dLbl>
            <c:dLbl>
              <c:idx val="1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058-4386-9DCC-0A26357863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Výpočty!$F$24:$F$36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Výpočty!$L$24:$L$36</c:f>
              <c:numCache>
                <c:formatCode>General</c:formatCode>
                <c:ptCount val="13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24</c:v>
                </c:pt>
                <c:pt idx="6">
                  <c:v>30</c:v>
                </c:pt>
                <c:pt idx="7">
                  <c:v>40</c:v>
                </c:pt>
                <c:pt idx="8">
                  <c:v>44</c:v>
                </c:pt>
                <c:pt idx="9">
                  <c:v>52</c:v>
                </c:pt>
                <c:pt idx="10">
                  <c:v>65</c:v>
                </c:pt>
                <c:pt idx="11">
                  <c:v>73</c:v>
                </c:pt>
                <c:pt idx="1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058-4386-9DCC-0A2635786392}"/>
            </c:ext>
          </c:extLst>
        </c:ser>
        <c:ser>
          <c:idx val="6"/>
          <c:order val="6"/>
          <c:tx>
            <c:strRef>
              <c:f>Výpočty!$M$23</c:f>
              <c:strCache>
                <c:ptCount val="1"/>
                <c:pt idx="0">
                  <c:v>OŘ Ostrava</c:v>
                </c:pt>
              </c:strCache>
            </c:strRef>
          </c:tx>
          <c:spPr>
            <a:ln w="31750" cap="rnd">
              <a:solidFill>
                <a:srgbClr val="33CCCC"/>
              </a:solidFill>
            </a:ln>
            <a:effectLst>
              <a:glow rad="889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1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058-4386-9DCC-0A26357863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Výpočty!$F$24:$F$36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Výpočty!$M$24:$M$36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10</c:v>
                </c:pt>
                <c:pt idx="8">
                  <c:v>13</c:v>
                </c:pt>
                <c:pt idx="9">
                  <c:v>22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058-4386-9DCC-0A2635786392}"/>
            </c:ext>
          </c:extLst>
        </c:ser>
        <c:ser>
          <c:idx val="7"/>
          <c:order val="7"/>
          <c:tx>
            <c:strRef>
              <c:f>Výpočty!$N$23</c:f>
              <c:strCache>
                <c:ptCount val="1"/>
                <c:pt idx="0">
                  <c:v>OŘ Plzeň</c:v>
                </c:pt>
              </c:strCache>
            </c:strRef>
          </c:tx>
          <c:spPr>
            <a:ln w="31750" cap="rnd">
              <a:solidFill>
                <a:srgbClr val="7E1F86"/>
              </a:solidFill>
            </a:ln>
            <a:effectLst>
              <a:glow rad="889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1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058-4386-9DCC-0A26357863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Výpočty!$F$24:$F$36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Výpočty!$N$24:$N$36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6</c:v>
                </c:pt>
                <c:pt idx="8">
                  <c:v>8</c:v>
                </c:pt>
                <c:pt idx="9">
                  <c:v>11</c:v>
                </c:pt>
                <c:pt idx="10">
                  <c:v>15</c:v>
                </c:pt>
                <c:pt idx="11">
                  <c:v>17</c:v>
                </c:pt>
                <c:pt idx="1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058-4386-9DCC-0A2635786392}"/>
            </c:ext>
          </c:extLst>
        </c:ser>
        <c:ser>
          <c:idx val="8"/>
          <c:order val="8"/>
          <c:tx>
            <c:strRef>
              <c:f>Výpočty!$O$23</c:f>
              <c:strCache>
                <c:ptCount val="1"/>
                <c:pt idx="0">
                  <c:v>OŘ Praha</c:v>
                </c:pt>
              </c:strCache>
            </c:strRef>
          </c:tx>
          <c:spPr>
            <a:ln w="31750" cap="rnd">
              <a:solidFill>
                <a:srgbClr val="FF0000">
                  <a:alpha val="93000"/>
                </a:srgbClr>
              </a:solidFill>
            </a:ln>
            <a:effectLst>
              <a:glow rad="88900">
                <a:srgbClr val="FF0000">
                  <a:alpha val="14000"/>
                </a:srgbClr>
              </a:glo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2.7511729174739125E-2"/>
                  <c:y val="-2.8927998616165292E-2"/>
                </c:manualLayout>
              </c:layout>
              <c:tx>
                <c:rich>
                  <a:bodyPr rot="0" spcFirstLastPara="1" vertOverflow="overflow" horzOverflow="overflow" vert="horz" wrap="square" lIns="72000" tIns="36000" rIns="72000" bIns="36000" anchor="ctr" anchorCtr="1">
                    <a:noAutofit/>
                  </a:bodyPr>
                  <a:lstStyle/>
                  <a:p>
                    <a:pPr>
                      <a:defRPr sz="11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608ADC9-8619-4016-9886-A7A0525DEA65}" type="VALUE">
                      <a:rPr lang="en-US" sz="1100" b="1">
                        <a:solidFill>
                          <a:sysClr val="windowText" lastClr="000000"/>
                        </a:solidFill>
                      </a:rPr>
                      <a:pPr>
                        <a:defRPr sz="1100" b="1">
                          <a:solidFill>
                            <a:sysClr val="windowText" lastClr="000000"/>
                          </a:solidFill>
                        </a:defRPr>
                      </a:pPr>
                      <a:t>[HODNOTA]</a:t>
                    </a:fld>
                    <a:endParaRPr lang="cs-CZ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72000" tIns="36000" rIns="72000" bIns="3600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3.1590437514572349E-2"/>
                      <c:h val="4.493342202764871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D058-4386-9DCC-0A2635786392}"/>
                </c:ext>
              </c:extLst>
            </c:dLbl>
            <c:dLbl>
              <c:idx val="1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058-4386-9DCC-0A26357863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72000" tIns="36000" rIns="72000" bIns="3600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Výpočty!$F$24:$F$36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Výpočty!$O$24:$O$36</c:f>
              <c:numCache>
                <c:formatCode>General</c:formatCode>
                <c:ptCount val="13"/>
                <c:pt idx="0">
                  <c:v>74</c:v>
                </c:pt>
                <c:pt idx="1">
                  <c:v>80</c:v>
                </c:pt>
                <c:pt idx="2">
                  <c:v>86</c:v>
                </c:pt>
                <c:pt idx="3">
                  <c:v>90</c:v>
                </c:pt>
                <c:pt idx="4">
                  <c:v>60</c:v>
                </c:pt>
                <c:pt idx="5">
                  <c:v>65</c:v>
                </c:pt>
                <c:pt idx="6">
                  <c:v>88</c:v>
                </c:pt>
                <c:pt idx="7">
                  <c:v>99</c:v>
                </c:pt>
                <c:pt idx="8">
                  <c:v>105</c:v>
                </c:pt>
                <c:pt idx="9">
                  <c:v>110</c:v>
                </c:pt>
                <c:pt idx="10">
                  <c:v>114</c:v>
                </c:pt>
                <c:pt idx="11">
                  <c:v>121</c:v>
                </c:pt>
                <c:pt idx="12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058-4386-9DCC-0A2635786392}"/>
            </c:ext>
          </c:extLst>
        </c:ser>
        <c:ser>
          <c:idx val="9"/>
          <c:order val="9"/>
          <c:tx>
            <c:strRef>
              <c:f>Výpočty!$P$23</c:f>
              <c:strCache>
                <c:ptCount val="1"/>
                <c:pt idx="0">
                  <c:v>OŘ Ústí n.L</c:v>
                </c:pt>
              </c:strCache>
            </c:strRef>
          </c:tx>
          <c:spPr>
            <a:ln w="31750" cap="rnd">
              <a:solidFill>
                <a:srgbClr val="FFC000"/>
              </a:solidFill>
            </a:ln>
            <a:effectLst>
              <a:glow rad="889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058-4386-9DCC-0A2635786392}"/>
                </c:ext>
              </c:extLst>
            </c:dLbl>
            <c:dLbl>
              <c:idx val="1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058-4386-9DCC-0A26357863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Výpočty!$F$24:$F$36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Výpočty!$P$24:$P$36</c:f>
              <c:numCache>
                <c:formatCode>General</c:formatCode>
                <c:ptCount val="13"/>
                <c:pt idx="0">
                  <c:v>19</c:v>
                </c:pt>
                <c:pt idx="1">
                  <c:v>20</c:v>
                </c:pt>
                <c:pt idx="2">
                  <c:v>22</c:v>
                </c:pt>
                <c:pt idx="3">
                  <c:v>22</c:v>
                </c:pt>
                <c:pt idx="4">
                  <c:v>24</c:v>
                </c:pt>
                <c:pt idx="5">
                  <c:v>35</c:v>
                </c:pt>
                <c:pt idx="6">
                  <c:v>38</c:v>
                </c:pt>
                <c:pt idx="7">
                  <c:v>41</c:v>
                </c:pt>
                <c:pt idx="8">
                  <c:v>43</c:v>
                </c:pt>
                <c:pt idx="9">
                  <c:v>51</c:v>
                </c:pt>
                <c:pt idx="10">
                  <c:v>59</c:v>
                </c:pt>
                <c:pt idx="11">
                  <c:v>62</c:v>
                </c:pt>
                <c:pt idx="12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058-4386-9DCC-0A2635786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272015"/>
        <c:axId val="13692710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Výpočty!$G$23</c15:sqref>
                        </c15:formulaRef>
                      </c:ext>
                    </c:extLst>
                    <c:strCache>
                      <c:ptCount val="1"/>
                      <c:pt idx="0">
                        <c:v>Počet členů celkem</c:v>
                      </c:pt>
                    </c:strCache>
                  </c:strRef>
                </c:tx>
                <c:spPr>
                  <a:ln w="25400" cap="rnd">
                    <a:solidFill>
                      <a:srgbClr val="FF0000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Výpočty!$F$24:$F$36</c15:sqref>
                        </c15:formulaRef>
                      </c:ext>
                    </c:extLst>
                    <c:strCache>
                      <c:ptCount val="13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  <c:pt idx="10">
                        <c:v>2023</c:v>
                      </c:pt>
                      <c:pt idx="11">
                        <c:v>2024</c:v>
                      </c:pt>
                      <c:pt idx="12">
                        <c:v>2025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Výpočty!$G$24:$G$36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112</c:v>
                      </c:pt>
                      <c:pt idx="1">
                        <c:v>147</c:v>
                      </c:pt>
                      <c:pt idx="2">
                        <c:v>156</c:v>
                      </c:pt>
                      <c:pt idx="3">
                        <c:v>163</c:v>
                      </c:pt>
                      <c:pt idx="4">
                        <c:v>190</c:v>
                      </c:pt>
                      <c:pt idx="5">
                        <c:v>243</c:v>
                      </c:pt>
                      <c:pt idx="6">
                        <c:v>302</c:v>
                      </c:pt>
                      <c:pt idx="7">
                        <c:v>348</c:v>
                      </c:pt>
                      <c:pt idx="8">
                        <c:v>379</c:v>
                      </c:pt>
                      <c:pt idx="9">
                        <c:v>429</c:v>
                      </c:pt>
                      <c:pt idx="10">
                        <c:v>474</c:v>
                      </c:pt>
                      <c:pt idx="11">
                        <c:v>513</c:v>
                      </c:pt>
                      <c:pt idx="12">
                        <c:v>523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D058-4386-9DCC-0A2635786392}"/>
                  </c:ext>
                </c:extLst>
              </c15:ser>
            </c15:filteredLineSeries>
          </c:ext>
        </c:extLst>
      </c:lineChart>
      <c:catAx>
        <c:axId val="136927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69271055"/>
        <c:crosses val="autoZero"/>
        <c:auto val="1"/>
        <c:lblAlgn val="ctr"/>
        <c:lblOffset val="100"/>
        <c:noMultiLvlLbl val="0"/>
      </c:catAx>
      <c:valAx>
        <c:axId val="1369271055"/>
        <c:scaling>
          <c:orientation val="minMax"/>
          <c:max val="1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6927201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</c:legendEntry>
      <c:layout>
        <c:manualLayout>
          <c:xMode val="edge"/>
          <c:yMode val="edge"/>
          <c:x val="0.86965259501176695"/>
          <c:y val="0.37327710656418489"/>
          <c:w val="0.10904450628435512"/>
          <c:h val="0.29055774394222489"/>
        </c:manualLayout>
      </c:layout>
      <c:overlay val="0"/>
      <c:spPr>
        <a:noFill/>
        <a:ln>
          <a:solidFill>
            <a:srgbClr val="FFFFFF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rgbClr val="FFFFFF"/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65000"/>
                    <a:lumOff val="35000"/>
                  </a:schemeClr>
                </a:solidFill>
              </a:rPr>
              <a:t>Složení počtu členů dle OŘ</a:t>
            </a:r>
            <a:r>
              <a:rPr lang="cs-CZ">
                <a:solidFill>
                  <a:schemeClr val="tx1">
                    <a:lumMod val="65000"/>
                    <a:lumOff val="35000"/>
                  </a:schemeClr>
                </a:solidFill>
              </a:rPr>
              <a:t> v %</a:t>
            </a:r>
            <a:endParaRPr lang="en-US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layout>
        <c:manualLayout>
          <c:xMode val="edge"/>
          <c:yMode val="edge"/>
          <c:x val="0.30756632520171623"/>
          <c:y val="2.15053410294516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1"/>
          <c:tx>
            <c:strRef>
              <c:f>Výpočty!$H$41</c:f>
              <c:strCache>
                <c:ptCount val="1"/>
                <c:pt idx="0">
                  <c:v>CDP Praha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Výpočty!$F$42:$F$54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Výpočty!$H$42:$H$54</c:f>
              <c:numCache>
                <c:formatCode>0.0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26.315789473684209</c:v>
                </c:pt>
                <c:pt idx="5">
                  <c:v>22.222222222222221</c:v>
                </c:pt>
                <c:pt idx="6">
                  <c:v>20.52980132450331</c:v>
                </c:pt>
                <c:pt idx="7">
                  <c:v>19.25287356321839</c:v>
                </c:pt>
                <c:pt idx="8">
                  <c:v>19.788918205804748</c:v>
                </c:pt>
                <c:pt idx="9">
                  <c:v>19.114219114219114</c:v>
                </c:pt>
                <c:pt idx="10">
                  <c:v>18.776371308016877</c:v>
                </c:pt>
                <c:pt idx="11">
                  <c:v>19.103313840155945</c:v>
                </c:pt>
                <c:pt idx="12">
                  <c:v>19.120458891013385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8-4AA9-BF12-8A6A3A61574F}"/>
            </c:ext>
          </c:extLst>
        </c:ser>
        <c:ser>
          <c:idx val="2"/>
          <c:order val="2"/>
          <c:tx>
            <c:strRef>
              <c:f>Výpočty!$I$41</c:f>
              <c:strCache>
                <c:ptCount val="1"/>
                <c:pt idx="0">
                  <c:v>CDP Přerov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F8-4AA9-BF12-8A6A3A61574F}"/>
                </c:ext>
              </c:extLst>
            </c:dLbl>
            <c:dLbl>
              <c:idx val="1"/>
              <c:layout>
                <c:manualLayout>
                  <c:x val="0"/>
                  <c:y val="5.561348627041955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1F8-4AA9-BF12-8A6A3A61574F}"/>
                </c:ext>
              </c:extLst>
            </c:dLbl>
            <c:dLbl>
              <c:idx val="2"/>
              <c:layout>
                <c:manualLayout>
                  <c:x val="0"/>
                  <c:y val="4.17101147028144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1F8-4AA9-BF12-8A6A3A6157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Výpočty!$F$42:$F$54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Výpočty!$I$42:$I$54</c:f>
              <c:numCache>
                <c:formatCode>0.0</c:formatCode>
                <c:ptCount val="13"/>
                <c:pt idx="0">
                  <c:v>0</c:v>
                </c:pt>
                <c:pt idx="1">
                  <c:v>0.68027210884353739</c:v>
                </c:pt>
                <c:pt idx="2">
                  <c:v>0.64102564102564097</c:v>
                </c:pt>
                <c:pt idx="3">
                  <c:v>1.2269938650306749</c:v>
                </c:pt>
                <c:pt idx="4">
                  <c:v>1.0526315789473684</c:v>
                </c:pt>
                <c:pt idx="5">
                  <c:v>1.6460905349794239</c:v>
                </c:pt>
                <c:pt idx="6">
                  <c:v>1.6556291390728477</c:v>
                </c:pt>
                <c:pt idx="7">
                  <c:v>2.0114942528735633</c:v>
                </c:pt>
                <c:pt idx="8">
                  <c:v>2.6385224274406331</c:v>
                </c:pt>
                <c:pt idx="9">
                  <c:v>2.5641025641025639</c:v>
                </c:pt>
                <c:pt idx="10">
                  <c:v>2.3206751054852321</c:v>
                </c:pt>
                <c:pt idx="11">
                  <c:v>2.3391812865497075</c:v>
                </c:pt>
                <c:pt idx="12">
                  <c:v>2.2944550669216062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F8-4AA9-BF12-8A6A3A61574F}"/>
            </c:ext>
          </c:extLst>
        </c:ser>
        <c:ser>
          <c:idx val="3"/>
          <c:order val="3"/>
          <c:tx>
            <c:strRef>
              <c:f>Výpočty!$J$41</c:f>
              <c:strCache>
                <c:ptCount val="1"/>
                <c:pt idx="0">
                  <c:v>GŘ</c:v>
                </c:pt>
              </c:strCache>
            </c:strRef>
          </c:tx>
          <c:spPr>
            <a:solidFill>
              <a:srgbClr val="CE8E8E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Výpočty!$F$42:$F$54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Výpočty!$J$42:$J$54</c:f>
              <c:numCache>
                <c:formatCode>0.0</c:formatCode>
                <c:ptCount val="13"/>
                <c:pt idx="0">
                  <c:v>6.25</c:v>
                </c:pt>
                <c:pt idx="1">
                  <c:v>4.7619047619047619</c:v>
                </c:pt>
                <c:pt idx="2">
                  <c:v>4.4871794871794872</c:v>
                </c:pt>
                <c:pt idx="3">
                  <c:v>4.294478527607362</c:v>
                </c:pt>
                <c:pt idx="4">
                  <c:v>3.6842105263157889</c:v>
                </c:pt>
                <c:pt idx="5">
                  <c:v>2.880658436213992</c:v>
                </c:pt>
                <c:pt idx="6">
                  <c:v>2.6490066225165565</c:v>
                </c:pt>
                <c:pt idx="7">
                  <c:v>2.2988505747126435</c:v>
                </c:pt>
                <c:pt idx="8">
                  <c:v>2.3746701846965697</c:v>
                </c:pt>
                <c:pt idx="9">
                  <c:v>2.3310023310023311</c:v>
                </c:pt>
                <c:pt idx="10">
                  <c:v>2.3206751054852321</c:v>
                </c:pt>
                <c:pt idx="11">
                  <c:v>2.144249512670565</c:v>
                </c:pt>
                <c:pt idx="12">
                  <c:v>2.1032504780114722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F8-4AA9-BF12-8A6A3A61574F}"/>
            </c:ext>
          </c:extLst>
        </c:ser>
        <c:ser>
          <c:idx val="4"/>
          <c:order val="4"/>
          <c:tx>
            <c:strRef>
              <c:f>Výpočty!$K$41</c:f>
              <c:strCache>
                <c:ptCount val="1"/>
                <c:pt idx="0">
                  <c:v>OŘ Brno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Výpočty!$F$42:$F$54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Výpočty!$K$42:$K$54</c:f>
              <c:numCache>
                <c:formatCode>0.0</c:formatCode>
                <c:ptCount val="13"/>
                <c:pt idx="0">
                  <c:v>0.89285714285714279</c:v>
                </c:pt>
                <c:pt idx="1">
                  <c:v>17.687074829931973</c:v>
                </c:pt>
                <c:pt idx="2">
                  <c:v>17.307692307692307</c:v>
                </c:pt>
                <c:pt idx="3">
                  <c:v>17.791411042944784</c:v>
                </c:pt>
                <c:pt idx="4">
                  <c:v>17.894736842105264</c:v>
                </c:pt>
                <c:pt idx="5">
                  <c:v>21.399176954732511</c:v>
                </c:pt>
                <c:pt idx="6">
                  <c:v>21.192052980132452</c:v>
                </c:pt>
                <c:pt idx="7">
                  <c:v>20.114942528735632</c:v>
                </c:pt>
                <c:pt idx="8">
                  <c:v>18.997361477572557</c:v>
                </c:pt>
                <c:pt idx="9">
                  <c:v>18.648018648018649</c:v>
                </c:pt>
                <c:pt idx="10">
                  <c:v>17.932489451476794</c:v>
                </c:pt>
                <c:pt idx="11">
                  <c:v>18.128654970760234</c:v>
                </c:pt>
                <c:pt idx="12">
                  <c:v>17.782026768642449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F8-4AA9-BF12-8A6A3A61574F}"/>
            </c:ext>
          </c:extLst>
        </c:ser>
        <c:ser>
          <c:idx val="5"/>
          <c:order val="5"/>
          <c:tx>
            <c:strRef>
              <c:f>Výpočty!$L$41</c:f>
              <c:strCache>
                <c:ptCount val="1"/>
                <c:pt idx="0">
                  <c:v>OŘ Hr.Králové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Výpočty!$F$42:$F$54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Výpočty!$L$42:$L$54</c:f>
              <c:numCache>
                <c:formatCode>0.0</c:formatCode>
                <c:ptCount val="13"/>
                <c:pt idx="0">
                  <c:v>9.8214285714285712</c:v>
                </c:pt>
                <c:pt idx="1">
                  <c:v>8.8435374149659864</c:v>
                </c:pt>
                <c:pt idx="2">
                  <c:v>8.3333333333333321</c:v>
                </c:pt>
                <c:pt idx="3">
                  <c:v>7.9754601226993866</c:v>
                </c:pt>
                <c:pt idx="4">
                  <c:v>6.8421052631578956</c:v>
                </c:pt>
                <c:pt idx="5">
                  <c:v>9.8765432098765427</c:v>
                </c:pt>
                <c:pt idx="6">
                  <c:v>9.9337748344370862</c:v>
                </c:pt>
                <c:pt idx="7">
                  <c:v>11.494252873563218</c:v>
                </c:pt>
                <c:pt idx="8">
                  <c:v>11.609498680738787</c:v>
                </c:pt>
                <c:pt idx="9">
                  <c:v>12.121212121212121</c:v>
                </c:pt>
                <c:pt idx="10">
                  <c:v>13.71308016877637</c:v>
                </c:pt>
                <c:pt idx="11">
                  <c:v>14.230019493177387</c:v>
                </c:pt>
                <c:pt idx="12">
                  <c:v>14.340344168260039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F8-4AA9-BF12-8A6A3A61574F}"/>
            </c:ext>
          </c:extLst>
        </c:ser>
        <c:ser>
          <c:idx val="6"/>
          <c:order val="6"/>
          <c:tx>
            <c:strRef>
              <c:f>Výpočty!$M$41</c:f>
              <c:strCache>
                <c:ptCount val="1"/>
                <c:pt idx="0">
                  <c:v>OŘ Ostrava</c:v>
                </c:pt>
              </c:strCache>
            </c:strRef>
          </c:tx>
          <c:spPr>
            <a:solidFill>
              <a:srgbClr val="33CCCC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1F8-4AA9-BF12-8A6A3A61574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1F8-4AA9-BF12-8A6A3A61574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1F8-4AA9-BF12-8A6A3A61574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1F8-4AA9-BF12-8A6A3A61574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1F8-4AA9-BF12-8A6A3A61574F}"/>
                </c:ext>
              </c:extLst>
            </c:dLbl>
            <c:dLbl>
              <c:idx val="5"/>
              <c:layout>
                <c:manualLayout>
                  <c:x val="0"/>
                  <c:y val="5.56134862704205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1F8-4AA9-BF12-8A6A3A6157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Výpočty!$F$42:$F$54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Výpočty!$M$42:$M$54</c:f>
              <c:numCache>
                <c:formatCode>0.0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0.41152263374485598</c:v>
                </c:pt>
                <c:pt idx="6">
                  <c:v>1.3245033112582782</c:v>
                </c:pt>
                <c:pt idx="7">
                  <c:v>2.8735632183908044</c:v>
                </c:pt>
                <c:pt idx="8">
                  <c:v>3.4300791556728232</c:v>
                </c:pt>
                <c:pt idx="9">
                  <c:v>5.1282051282051277</c:v>
                </c:pt>
                <c:pt idx="10">
                  <c:v>5.2742616033755274</c:v>
                </c:pt>
                <c:pt idx="11">
                  <c:v>5.0682261208577</c:v>
                </c:pt>
                <c:pt idx="12">
                  <c:v>5.1625239005736141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1F8-4AA9-BF12-8A6A3A61574F}"/>
            </c:ext>
          </c:extLst>
        </c:ser>
        <c:ser>
          <c:idx val="7"/>
          <c:order val="7"/>
          <c:tx>
            <c:strRef>
              <c:f>Výpočty!$N$41</c:f>
              <c:strCache>
                <c:ptCount val="1"/>
                <c:pt idx="0">
                  <c:v>OŘ Plzeň</c:v>
                </c:pt>
              </c:strCache>
            </c:strRef>
          </c:tx>
          <c:spPr>
            <a:solidFill>
              <a:srgbClr val="7E1F8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1F8-4AA9-BF12-8A6A3A61574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1F8-4AA9-BF12-8A6A3A61574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1F8-4AA9-BF12-8A6A3A61574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1F8-4AA9-BF12-8A6A3A61574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1F8-4AA9-BF12-8A6A3A61574F}"/>
                </c:ext>
              </c:extLst>
            </c:dLbl>
            <c:dLbl>
              <c:idx val="5"/>
              <c:layout>
                <c:manualLayout>
                  <c:x val="-1.1594202898550724E-3"/>
                  <c:y val="-5.56134862704210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1F8-4AA9-BF12-8A6A3A61574F}"/>
                </c:ext>
              </c:extLst>
            </c:dLbl>
            <c:dLbl>
              <c:idx val="6"/>
              <c:layout>
                <c:manualLayout>
                  <c:x val="-8.5023172394429168E-17"/>
                  <c:y val="-5.561348627042159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1F8-4AA9-BF12-8A6A3A6157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Výpočty!$F$42:$F$54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Výpočty!$N$42:$N$54</c:f>
              <c:numCache>
                <c:formatCode>0.0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0.41152263374485598</c:v>
                </c:pt>
                <c:pt idx="6">
                  <c:v>0.99337748344370869</c:v>
                </c:pt>
                <c:pt idx="7">
                  <c:v>1.7241379310344827</c:v>
                </c:pt>
                <c:pt idx="8">
                  <c:v>2.1108179419525066</c:v>
                </c:pt>
                <c:pt idx="9">
                  <c:v>2.5641025641025639</c:v>
                </c:pt>
                <c:pt idx="10">
                  <c:v>3.1645569620253164</c:v>
                </c:pt>
                <c:pt idx="11">
                  <c:v>3.3138401559454191</c:v>
                </c:pt>
                <c:pt idx="12">
                  <c:v>3.2504780114722758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1F8-4AA9-BF12-8A6A3A61574F}"/>
            </c:ext>
          </c:extLst>
        </c:ser>
        <c:ser>
          <c:idx val="8"/>
          <c:order val="8"/>
          <c:tx>
            <c:strRef>
              <c:f>Výpočty!$O$41</c:f>
              <c:strCache>
                <c:ptCount val="1"/>
                <c:pt idx="0">
                  <c:v>OŘ Praha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Výpočty!$F$42:$F$54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Výpočty!$O$42:$O$54</c:f>
              <c:numCache>
                <c:formatCode>0.0</c:formatCode>
                <c:ptCount val="13"/>
                <c:pt idx="0">
                  <c:v>66.071428571428569</c:v>
                </c:pt>
                <c:pt idx="1">
                  <c:v>54.421768707482997</c:v>
                </c:pt>
                <c:pt idx="2">
                  <c:v>55.128205128205131</c:v>
                </c:pt>
                <c:pt idx="3">
                  <c:v>55.214723926380373</c:v>
                </c:pt>
                <c:pt idx="4">
                  <c:v>31.578947368421051</c:v>
                </c:pt>
                <c:pt idx="5">
                  <c:v>26.748971193415638</c:v>
                </c:pt>
                <c:pt idx="6">
                  <c:v>29.139072847682119</c:v>
                </c:pt>
                <c:pt idx="7">
                  <c:v>28.448275862068968</c:v>
                </c:pt>
                <c:pt idx="8">
                  <c:v>27.70448548812665</c:v>
                </c:pt>
                <c:pt idx="9">
                  <c:v>25.641025641025639</c:v>
                </c:pt>
                <c:pt idx="10">
                  <c:v>24.050632911392405</c:v>
                </c:pt>
                <c:pt idx="11">
                  <c:v>23.586744639376217</c:v>
                </c:pt>
                <c:pt idx="12">
                  <c:v>24.091778202676863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1F8-4AA9-BF12-8A6A3A61574F}"/>
            </c:ext>
          </c:extLst>
        </c:ser>
        <c:ser>
          <c:idx val="9"/>
          <c:order val="9"/>
          <c:tx>
            <c:strRef>
              <c:f>Výpočty!$P$41</c:f>
              <c:strCache>
                <c:ptCount val="1"/>
                <c:pt idx="0">
                  <c:v>OŘ Ústí n.L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Výpočty!$F$42:$F$54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Výpočty!$P$42:$P$54</c:f>
              <c:numCache>
                <c:formatCode>0.0</c:formatCode>
                <c:ptCount val="13"/>
                <c:pt idx="0">
                  <c:v>16.964285714285715</c:v>
                </c:pt>
                <c:pt idx="1">
                  <c:v>13.605442176870749</c:v>
                </c:pt>
                <c:pt idx="2">
                  <c:v>14.102564102564102</c:v>
                </c:pt>
                <c:pt idx="3">
                  <c:v>13.496932515337424</c:v>
                </c:pt>
                <c:pt idx="4">
                  <c:v>12.631578947368421</c:v>
                </c:pt>
                <c:pt idx="5">
                  <c:v>14.403292181069959</c:v>
                </c:pt>
                <c:pt idx="6">
                  <c:v>12.582781456953644</c:v>
                </c:pt>
                <c:pt idx="7">
                  <c:v>11.781609195402298</c:v>
                </c:pt>
                <c:pt idx="8">
                  <c:v>11.345646437994723</c:v>
                </c:pt>
                <c:pt idx="9">
                  <c:v>11.888111888111888</c:v>
                </c:pt>
                <c:pt idx="10">
                  <c:v>12.447257383966246</c:v>
                </c:pt>
                <c:pt idx="11">
                  <c:v>12.085769980506821</c:v>
                </c:pt>
                <c:pt idx="12">
                  <c:v>11.854684512428298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1F8-4AA9-BF12-8A6A3A6157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47934927"/>
        <c:axId val="247935407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Výpočty!$G$41</c15:sqref>
                        </c15:formulaRef>
                      </c:ext>
                    </c:extLst>
                    <c:strCache>
                      <c:ptCount val="1"/>
                      <c:pt idx="0">
                        <c:v>Počet členů celkem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Výpočty!$F$42:$F$54</c15:sqref>
                        </c15:formulaRef>
                      </c:ext>
                    </c:extLst>
                    <c:strCache>
                      <c:ptCount val="13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  <c:pt idx="10">
                        <c:v>2023</c:v>
                      </c:pt>
                      <c:pt idx="11">
                        <c:v>2024</c:v>
                      </c:pt>
                      <c:pt idx="12">
                        <c:v>2025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Výpočty!$G$42:$G$54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112</c:v>
                      </c:pt>
                      <c:pt idx="1">
                        <c:v>147</c:v>
                      </c:pt>
                      <c:pt idx="2">
                        <c:v>156</c:v>
                      </c:pt>
                      <c:pt idx="3">
                        <c:v>163</c:v>
                      </c:pt>
                      <c:pt idx="4">
                        <c:v>190</c:v>
                      </c:pt>
                      <c:pt idx="5">
                        <c:v>243</c:v>
                      </c:pt>
                      <c:pt idx="6">
                        <c:v>302</c:v>
                      </c:pt>
                      <c:pt idx="7">
                        <c:v>348</c:v>
                      </c:pt>
                      <c:pt idx="8">
                        <c:v>379</c:v>
                      </c:pt>
                      <c:pt idx="9">
                        <c:v>429</c:v>
                      </c:pt>
                      <c:pt idx="10">
                        <c:v>474</c:v>
                      </c:pt>
                      <c:pt idx="11">
                        <c:v>513</c:v>
                      </c:pt>
                      <c:pt idx="12">
                        <c:v>523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4-61F8-4AA9-BF12-8A6A3A61574F}"/>
                  </c:ext>
                </c:extLst>
              </c15:ser>
            </c15:filteredBarSeries>
          </c:ext>
        </c:extLst>
      </c:bar3DChart>
      <c:catAx>
        <c:axId val="24793492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47935407"/>
        <c:crosses val="autoZero"/>
        <c:auto val="1"/>
        <c:lblAlgn val="ctr"/>
        <c:lblOffset val="100"/>
        <c:noMultiLvlLbl val="0"/>
      </c:catAx>
      <c:valAx>
        <c:axId val="247935407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479349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40294118462226"/>
          <c:y val="0.41425369274096213"/>
          <c:w val="9.4701599470076794E-2"/>
          <c:h val="0.21115893360045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>
      <a:noFill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cs-CZ">
                <a:solidFill>
                  <a:schemeClr val="tx1">
                    <a:lumMod val="65000"/>
                    <a:lumOff val="35000"/>
                  </a:schemeClr>
                </a:solidFill>
              </a:rPr>
              <a:t>Počet členů dle OŘ</a:t>
            </a:r>
            <a:endParaRPr lang="en-US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layout>
        <c:manualLayout>
          <c:xMode val="edge"/>
          <c:yMode val="edge"/>
          <c:x val="0.4224254943698284"/>
          <c:y val="3.06911161111188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9409721101593839E-2"/>
          <c:y val="0.10774096384779261"/>
          <c:w val="0.80317798991215494"/>
          <c:h val="0.84804394025260521"/>
        </c:manualLayout>
      </c:layout>
      <c:bar3DChart>
        <c:barDir val="col"/>
        <c:grouping val="stacked"/>
        <c:varyColors val="0"/>
        <c:ser>
          <c:idx val="1"/>
          <c:order val="1"/>
          <c:tx>
            <c:strRef>
              <c:f>Výpočty!$H$23</c:f>
              <c:strCache>
                <c:ptCount val="1"/>
                <c:pt idx="0">
                  <c:v>CDP Praha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Výpočty!$F$24:$F$36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Výpočty!$H$24:$H$36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</c:v>
                </c:pt>
                <c:pt idx="5">
                  <c:v>54</c:v>
                </c:pt>
                <c:pt idx="6">
                  <c:v>62</c:v>
                </c:pt>
                <c:pt idx="7">
                  <c:v>67</c:v>
                </c:pt>
                <c:pt idx="8">
                  <c:v>75</c:v>
                </c:pt>
                <c:pt idx="9">
                  <c:v>82</c:v>
                </c:pt>
                <c:pt idx="10">
                  <c:v>89</c:v>
                </c:pt>
                <c:pt idx="11">
                  <c:v>98</c:v>
                </c:pt>
                <c:pt idx="1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0-4BEF-88AE-99090BB906CA}"/>
            </c:ext>
          </c:extLst>
        </c:ser>
        <c:ser>
          <c:idx val="2"/>
          <c:order val="2"/>
          <c:tx>
            <c:strRef>
              <c:f>Výpočty!$I$23</c:f>
              <c:strCache>
                <c:ptCount val="1"/>
                <c:pt idx="0">
                  <c:v>CDP Přerov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70-4BEF-88AE-99090BB906CA}"/>
                </c:ext>
              </c:extLst>
            </c:dLbl>
            <c:dLbl>
              <c:idx val="1"/>
              <c:layout>
                <c:manualLayout>
                  <c:x val="0"/>
                  <c:y val="3.813139739261307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C70-4BEF-88AE-99090BB906CA}"/>
                </c:ext>
              </c:extLst>
            </c:dLbl>
            <c:dLbl>
              <c:idx val="2"/>
              <c:layout>
                <c:manualLayout>
                  <c:x val="-2.4212001379930479E-17"/>
                  <c:y val="2.542093159507538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70-4BEF-88AE-99090BB906CA}"/>
                </c:ext>
              </c:extLst>
            </c:dLbl>
            <c:dLbl>
              <c:idx val="3"/>
              <c:layout>
                <c:manualLayout>
                  <c:x val="0"/>
                  <c:y val="5.08418631901489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C70-4BEF-88AE-99090BB906CA}"/>
                </c:ext>
              </c:extLst>
            </c:dLbl>
            <c:dLbl>
              <c:idx val="4"/>
              <c:layout>
                <c:manualLayout>
                  <c:x val="0"/>
                  <c:y val="2.542093159507538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C70-4BEF-88AE-99090BB906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Výpočty!$F$24:$F$36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Výpočty!$I$24:$I$36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70-4BEF-88AE-99090BB906CA}"/>
            </c:ext>
          </c:extLst>
        </c:ser>
        <c:ser>
          <c:idx val="3"/>
          <c:order val="3"/>
          <c:tx>
            <c:strRef>
              <c:f>Výpočty!$J$23</c:f>
              <c:strCache>
                <c:ptCount val="1"/>
                <c:pt idx="0">
                  <c:v>GŘ</c:v>
                </c:pt>
              </c:strCache>
            </c:strRef>
          </c:tx>
          <c:spPr>
            <a:solidFill>
              <a:srgbClr val="CE8E8E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layout>
                <c:manualLayout>
                  <c:x val="0"/>
                  <c:y val="5.084186319015076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C70-4BEF-88AE-99090BB906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Výpočty!$F$24:$F$36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Výpočty!$J$24:$J$36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C70-4BEF-88AE-99090BB906CA}"/>
            </c:ext>
          </c:extLst>
        </c:ser>
        <c:ser>
          <c:idx val="4"/>
          <c:order val="4"/>
          <c:tx>
            <c:strRef>
              <c:f>Výpočty!$K$23</c:f>
              <c:strCache>
                <c:ptCount val="1"/>
                <c:pt idx="0">
                  <c:v>OŘ Brno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Výpočty!$F$24:$F$36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Výpočty!$K$24:$K$36</c:f>
              <c:numCache>
                <c:formatCode>General</c:formatCode>
                <c:ptCount val="13"/>
                <c:pt idx="0">
                  <c:v>1</c:v>
                </c:pt>
                <c:pt idx="1">
                  <c:v>26</c:v>
                </c:pt>
                <c:pt idx="2">
                  <c:v>27</c:v>
                </c:pt>
                <c:pt idx="3">
                  <c:v>29</c:v>
                </c:pt>
                <c:pt idx="4">
                  <c:v>34</c:v>
                </c:pt>
                <c:pt idx="5">
                  <c:v>52</c:v>
                </c:pt>
                <c:pt idx="6">
                  <c:v>64</c:v>
                </c:pt>
                <c:pt idx="7">
                  <c:v>70</c:v>
                </c:pt>
                <c:pt idx="8">
                  <c:v>72</c:v>
                </c:pt>
                <c:pt idx="9">
                  <c:v>80</c:v>
                </c:pt>
                <c:pt idx="10">
                  <c:v>85</c:v>
                </c:pt>
                <c:pt idx="11">
                  <c:v>93</c:v>
                </c:pt>
                <c:pt idx="12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C70-4BEF-88AE-99090BB906CA}"/>
            </c:ext>
          </c:extLst>
        </c:ser>
        <c:ser>
          <c:idx val="5"/>
          <c:order val="5"/>
          <c:tx>
            <c:strRef>
              <c:f>Výpočty!$L$23</c:f>
              <c:strCache>
                <c:ptCount val="1"/>
                <c:pt idx="0">
                  <c:v>OŘ Hr.Králové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Výpočty!$F$24:$F$36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Výpočty!$L$24:$L$36</c:f>
              <c:numCache>
                <c:formatCode>General</c:formatCode>
                <c:ptCount val="13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24</c:v>
                </c:pt>
                <c:pt idx="6">
                  <c:v>30</c:v>
                </c:pt>
                <c:pt idx="7">
                  <c:v>40</c:v>
                </c:pt>
                <c:pt idx="8">
                  <c:v>44</c:v>
                </c:pt>
                <c:pt idx="9">
                  <c:v>52</c:v>
                </c:pt>
                <c:pt idx="10">
                  <c:v>65</c:v>
                </c:pt>
                <c:pt idx="11">
                  <c:v>73</c:v>
                </c:pt>
                <c:pt idx="12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C70-4BEF-88AE-99090BB906CA}"/>
            </c:ext>
          </c:extLst>
        </c:ser>
        <c:ser>
          <c:idx val="6"/>
          <c:order val="6"/>
          <c:tx>
            <c:strRef>
              <c:f>Výpočty!$M$23</c:f>
              <c:strCache>
                <c:ptCount val="1"/>
                <c:pt idx="0">
                  <c:v>OŘ Ostrava</c:v>
                </c:pt>
              </c:strCache>
            </c:strRef>
          </c:tx>
          <c:spPr>
            <a:solidFill>
              <a:srgbClr val="33CCCC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C70-4BEF-88AE-99090BB906C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C70-4BEF-88AE-99090BB906C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C70-4BEF-88AE-99090BB906C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C70-4BEF-88AE-99090BB906C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C70-4BEF-88AE-99090BB906CA}"/>
                </c:ext>
              </c:extLst>
            </c:dLbl>
            <c:dLbl>
              <c:idx val="5"/>
              <c:layout>
                <c:manualLayout>
                  <c:x val="-6.6033493851917757E-4"/>
                  <c:y val="2.542093159507445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C70-4BEF-88AE-99090BB906CA}"/>
                </c:ext>
              </c:extLst>
            </c:dLbl>
            <c:dLbl>
              <c:idx val="6"/>
              <c:layout>
                <c:manualLayout>
                  <c:x val="0"/>
                  <c:y val="7.293946024799309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C70-4BEF-88AE-99090BB906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Výpočty!$F$24:$F$36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Výpočty!$M$24:$M$36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10</c:v>
                </c:pt>
                <c:pt idx="8">
                  <c:v>13</c:v>
                </c:pt>
                <c:pt idx="9">
                  <c:v>22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C70-4BEF-88AE-99090BB906CA}"/>
            </c:ext>
          </c:extLst>
        </c:ser>
        <c:ser>
          <c:idx val="7"/>
          <c:order val="7"/>
          <c:tx>
            <c:strRef>
              <c:f>Výpočty!$N$23</c:f>
              <c:strCache>
                <c:ptCount val="1"/>
                <c:pt idx="0">
                  <c:v>OŘ Plzeň</c:v>
                </c:pt>
              </c:strCache>
            </c:strRef>
          </c:tx>
          <c:spPr>
            <a:solidFill>
              <a:srgbClr val="7E1F8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C70-4BEF-88AE-99090BB906C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C70-4BEF-88AE-99090BB906C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C70-4BEF-88AE-99090BB906C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C70-4BEF-88AE-99090BB906C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C70-4BEF-88AE-99090BB906CA}"/>
                </c:ext>
              </c:extLst>
            </c:dLbl>
            <c:dLbl>
              <c:idx val="5"/>
              <c:layout>
                <c:manualLayout>
                  <c:x val="6.6033493851917757E-4"/>
                  <c:y val="-1.01683726380301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C70-4BEF-88AE-99090BB906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Výpočty!$F$24:$F$36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Výpočty!$N$24:$N$36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6</c:v>
                </c:pt>
                <c:pt idx="8">
                  <c:v>8</c:v>
                </c:pt>
                <c:pt idx="9">
                  <c:v>11</c:v>
                </c:pt>
                <c:pt idx="10">
                  <c:v>15</c:v>
                </c:pt>
                <c:pt idx="11">
                  <c:v>17</c:v>
                </c:pt>
                <c:pt idx="1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C70-4BEF-88AE-99090BB906CA}"/>
            </c:ext>
          </c:extLst>
        </c:ser>
        <c:ser>
          <c:idx val="8"/>
          <c:order val="8"/>
          <c:tx>
            <c:strRef>
              <c:f>Výpočty!$O$23</c:f>
              <c:strCache>
                <c:ptCount val="1"/>
                <c:pt idx="0">
                  <c:v>OŘ Praha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Výpočty!$F$24:$F$36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Výpočty!$O$24:$O$36</c:f>
              <c:numCache>
                <c:formatCode>General</c:formatCode>
                <c:ptCount val="13"/>
                <c:pt idx="0">
                  <c:v>74</c:v>
                </c:pt>
                <c:pt idx="1">
                  <c:v>80</c:v>
                </c:pt>
                <c:pt idx="2">
                  <c:v>86</c:v>
                </c:pt>
                <c:pt idx="3">
                  <c:v>90</c:v>
                </c:pt>
                <c:pt idx="4">
                  <c:v>60</c:v>
                </c:pt>
                <c:pt idx="5">
                  <c:v>65</c:v>
                </c:pt>
                <c:pt idx="6">
                  <c:v>88</c:v>
                </c:pt>
                <c:pt idx="7">
                  <c:v>99</c:v>
                </c:pt>
                <c:pt idx="8">
                  <c:v>105</c:v>
                </c:pt>
                <c:pt idx="9">
                  <c:v>110</c:v>
                </c:pt>
                <c:pt idx="10">
                  <c:v>114</c:v>
                </c:pt>
                <c:pt idx="11">
                  <c:v>121</c:v>
                </c:pt>
                <c:pt idx="12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C70-4BEF-88AE-99090BB906CA}"/>
            </c:ext>
          </c:extLst>
        </c:ser>
        <c:ser>
          <c:idx val="9"/>
          <c:order val="9"/>
          <c:tx>
            <c:strRef>
              <c:f>Výpočty!$P$23</c:f>
              <c:strCache>
                <c:ptCount val="1"/>
                <c:pt idx="0">
                  <c:v>OŘ Ústí n.L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Výpočty!$F$24:$F$36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Výpočty!$P$24:$P$36</c:f>
              <c:numCache>
                <c:formatCode>General</c:formatCode>
                <c:ptCount val="13"/>
                <c:pt idx="0">
                  <c:v>19</c:v>
                </c:pt>
                <c:pt idx="1">
                  <c:v>20</c:v>
                </c:pt>
                <c:pt idx="2">
                  <c:v>22</c:v>
                </c:pt>
                <c:pt idx="3">
                  <c:v>22</c:v>
                </c:pt>
                <c:pt idx="4">
                  <c:v>24</c:v>
                </c:pt>
                <c:pt idx="5">
                  <c:v>35</c:v>
                </c:pt>
                <c:pt idx="6">
                  <c:v>38</c:v>
                </c:pt>
                <c:pt idx="7">
                  <c:v>41</c:v>
                </c:pt>
                <c:pt idx="8">
                  <c:v>43</c:v>
                </c:pt>
                <c:pt idx="9">
                  <c:v>51</c:v>
                </c:pt>
                <c:pt idx="10">
                  <c:v>59</c:v>
                </c:pt>
                <c:pt idx="11">
                  <c:v>62</c:v>
                </c:pt>
                <c:pt idx="12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C70-4BEF-88AE-99090BB906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69272015"/>
        <c:axId val="1369271055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Výpočty!$G$23</c15:sqref>
                        </c15:formulaRef>
                      </c:ext>
                    </c:extLst>
                    <c:strCache>
                      <c:ptCount val="1"/>
                      <c:pt idx="0">
                        <c:v>Počet členů celkem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Výpočty!$F$24:$F$36</c15:sqref>
                        </c15:formulaRef>
                      </c:ext>
                    </c:extLst>
                    <c:strCache>
                      <c:ptCount val="13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  <c:pt idx="10">
                        <c:v>2023</c:v>
                      </c:pt>
                      <c:pt idx="11">
                        <c:v>2024</c:v>
                      </c:pt>
                      <c:pt idx="12">
                        <c:v>2025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Výpočty!$G$24:$G$36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112</c:v>
                      </c:pt>
                      <c:pt idx="1">
                        <c:v>147</c:v>
                      </c:pt>
                      <c:pt idx="2">
                        <c:v>156</c:v>
                      </c:pt>
                      <c:pt idx="3">
                        <c:v>163</c:v>
                      </c:pt>
                      <c:pt idx="4">
                        <c:v>190</c:v>
                      </c:pt>
                      <c:pt idx="5">
                        <c:v>243</c:v>
                      </c:pt>
                      <c:pt idx="6">
                        <c:v>302</c:v>
                      </c:pt>
                      <c:pt idx="7">
                        <c:v>348</c:v>
                      </c:pt>
                      <c:pt idx="8">
                        <c:v>379</c:v>
                      </c:pt>
                      <c:pt idx="9">
                        <c:v>429</c:v>
                      </c:pt>
                      <c:pt idx="10">
                        <c:v>474</c:v>
                      </c:pt>
                      <c:pt idx="11">
                        <c:v>513</c:v>
                      </c:pt>
                      <c:pt idx="12">
                        <c:v>523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B-7C70-4BEF-88AE-99090BB906CA}"/>
                  </c:ext>
                </c:extLst>
              </c15:ser>
            </c15:filteredBarSeries>
          </c:ext>
        </c:extLst>
      </c:bar3DChart>
      <c:catAx>
        <c:axId val="136927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69271055"/>
        <c:crosses val="autoZero"/>
        <c:auto val="1"/>
        <c:lblAlgn val="ctr"/>
        <c:lblOffset val="100"/>
        <c:noMultiLvlLbl val="0"/>
      </c:catAx>
      <c:valAx>
        <c:axId val="1369271055"/>
        <c:scaling>
          <c:orientation val="minMax"/>
          <c:max val="53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69272015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legendEntry>
        <c:idx val="8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</c:legendEntry>
      <c:layout>
        <c:manualLayout>
          <c:xMode val="edge"/>
          <c:yMode val="edge"/>
          <c:x val="0.87095961862215454"/>
          <c:y val="0.38897480283005104"/>
          <c:w val="0.10311975025429893"/>
          <c:h val="0.384579231168955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>
      <a:noFill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cs-CZ" sz="2000">
                <a:solidFill>
                  <a:schemeClr val="tx1">
                    <a:lumMod val="65000"/>
                    <a:lumOff val="35000"/>
                  </a:schemeClr>
                </a:solidFill>
              </a:rPr>
              <a:t>Počet členů dle OŘ k 1.2.2025</a:t>
            </a:r>
            <a:endParaRPr lang="en-US" sz="2000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layout>
        <c:manualLayout>
          <c:xMode val="edge"/>
          <c:yMode val="edge"/>
          <c:x val="0.29832658768121273"/>
          <c:y val="0.464726649168853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28463015449213"/>
          <c:y val="8.3128752313729112E-2"/>
          <c:w val="0.58719297275475313"/>
          <c:h val="0.86615998705266484"/>
        </c:manualLayout>
      </c:layout>
      <c:doughnutChart>
        <c:varyColors val="1"/>
        <c:ser>
          <c:idx val="12"/>
          <c:order val="0"/>
          <c:tx>
            <c:strRef>
              <c:f>Výpočty!$F$36</c:f>
              <c:strCache>
                <c:ptCount val="1"/>
                <c:pt idx="0">
                  <c:v>2025</c:v>
                </c:pt>
              </c:strCache>
            </c:strRef>
          </c:tx>
          <c:dPt>
            <c:idx val="0"/>
            <c:bubble3D val="0"/>
            <c:spPr>
              <a:solidFill>
                <a:srgbClr val="ED7D3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328-4AD5-A8A7-975DE84C6840}"/>
              </c:ext>
            </c:extLst>
          </c:dPt>
          <c:dPt>
            <c:idx val="1"/>
            <c:bubble3D val="0"/>
            <c:spPr>
              <a:solidFill>
                <a:srgbClr val="0000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328-4AD5-A8A7-975DE84C6840}"/>
              </c:ext>
            </c:extLst>
          </c:dPt>
          <c:dPt>
            <c:idx val="2"/>
            <c:bubble3D val="0"/>
            <c:spPr>
              <a:solidFill>
                <a:srgbClr val="CE8E8E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328-4AD5-A8A7-975DE84C6840}"/>
              </c:ext>
            </c:extLst>
          </c:dPt>
          <c:dPt>
            <c:idx val="3"/>
            <c:bubble3D val="0"/>
            <c:spPr>
              <a:solidFill>
                <a:srgbClr val="5B9BD5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328-4AD5-A8A7-975DE84C6840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328-4AD5-A8A7-975DE84C6840}"/>
              </c:ext>
            </c:extLst>
          </c:dPt>
          <c:dPt>
            <c:idx val="5"/>
            <c:bubble3D val="0"/>
            <c:spPr>
              <a:solidFill>
                <a:srgbClr val="33CCCC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328-4AD5-A8A7-975DE84C6840}"/>
              </c:ext>
            </c:extLst>
          </c:dPt>
          <c:dPt>
            <c:idx val="6"/>
            <c:bubble3D val="0"/>
            <c:spPr>
              <a:solidFill>
                <a:srgbClr val="7E1F8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328-4AD5-A8A7-975DE84C6840}"/>
              </c:ext>
            </c:extLst>
          </c:dPt>
          <c:dPt>
            <c:idx val="7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328-4AD5-A8A7-975DE84C6840}"/>
              </c:ext>
            </c:extLst>
          </c:dPt>
          <c:dPt>
            <c:idx val="8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328-4AD5-A8A7-975DE84C6840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3328-4AD5-A8A7-975DE84C6840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3328-4AD5-A8A7-975DE84C68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Výpočty!$G$23:$P$23</c15:sqref>
                  </c15:fullRef>
                </c:ext>
              </c:extLst>
              <c:f>Výpočty!$H$23:$P$23</c:f>
              <c:strCache>
                <c:ptCount val="9"/>
                <c:pt idx="0">
                  <c:v>CDP Praha</c:v>
                </c:pt>
                <c:pt idx="1">
                  <c:v>CDP Přerov</c:v>
                </c:pt>
                <c:pt idx="2">
                  <c:v>GŘ</c:v>
                </c:pt>
                <c:pt idx="3">
                  <c:v>OŘ Brno</c:v>
                </c:pt>
                <c:pt idx="4">
                  <c:v>OŘ Hr.Králové</c:v>
                </c:pt>
                <c:pt idx="5">
                  <c:v>OŘ Ostrava</c:v>
                </c:pt>
                <c:pt idx="6">
                  <c:v>OŘ Plzeň</c:v>
                </c:pt>
                <c:pt idx="7">
                  <c:v>OŘ Praha</c:v>
                </c:pt>
                <c:pt idx="8">
                  <c:v>OŘ Ústí n.L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Výpočty!$G$36:$P$36</c15:sqref>
                  </c15:fullRef>
                </c:ext>
              </c:extLst>
              <c:f>Výpočty!$H$36:$P$36</c:f>
              <c:numCache>
                <c:formatCode>General</c:formatCode>
                <c:ptCount val="9"/>
                <c:pt idx="0">
                  <c:v>100</c:v>
                </c:pt>
                <c:pt idx="1">
                  <c:v>12</c:v>
                </c:pt>
                <c:pt idx="2">
                  <c:v>11</c:v>
                </c:pt>
                <c:pt idx="3">
                  <c:v>93</c:v>
                </c:pt>
                <c:pt idx="4">
                  <c:v>75</c:v>
                </c:pt>
                <c:pt idx="5">
                  <c:v>27</c:v>
                </c:pt>
                <c:pt idx="6">
                  <c:v>17</c:v>
                </c:pt>
                <c:pt idx="7">
                  <c:v>126</c:v>
                </c:pt>
                <c:pt idx="8">
                  <c:v>62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2-3328-4AD5-A8A7-975DE84C6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>
      <a:noFill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cs-CZ" sz="2000" b="1" i="0" u="none" strike="noStrike" kern="1200" cap="none" spc="1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cs-CZ" sz="1800" b="1" i="0" u="none" strike="noStrike" kern="1200" spc="1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rPr>
              <a:t>Vývoj počtu členů ADP</a:t>
            </a:r>
          </a:p>
        </c:rich>
      </c:tx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cs-CZ" sz="2000" b="1" i="0" u="none" strike="noStrike" kern="1200" cap="none" spc="100" baseline="0"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Výpočty!$G$23</c:f>
              <c:strCache>
                <c:ptCount val="1"/>
                <c:pt idx="0">
                  <c:v>Počet členů celkem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rgbClr val="FFC000">
                  <a:alpha val="14000"/>
                </a:srgbClr>
              </a:glow>
            </a:effectLst>
          </c:spPr>
          <c:marker>
            <c:symbol val="diamond"/>
            <c:size val="5"/>
            <c:spPr>
              <a:solidFill>
                <a:srgbClr val="FF0000"/>
              </a:solidFill>
              <a:ln>
                <a:noFill/>
              </a:ln>
              <a:effectLst>
                <a:glow rad="139700">
                  <a:srgbClr val="FFC000">
                    <a:alpha val="14000"/>
                  </a:srgbClr>
                </a:glow>
              </a:effectLst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4C-437C-AACB-6F64AEE531DB}"/>
                </c:ext>
              </c:extLst>
            </c:dLbl>
            <c:dLbl>
              <c:idx val="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4C-437C-AACB-6F64AEE531DB}"/>
                </c:ext>
              </c:extLst>
            </c:dLbl>
            <c:dLbl>
              <c:idx val="1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4C-437C-AACB-6F64AEE531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Výpočty!$F$24:$F$36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Výpočty!$G$24:$G$36</c:f>
              <c:numCache>
                <c:formatCode>General</c:formatCode>
                <c:ptCount val="13"/>
                <c:pt idx="0">
                  <c:v>112</c:v>
                </c:pt>
                <c:pt idx="1">
                  <c:v>147</c:v>
                </c:pt>
                <c:pt idx="2">
                  <c:v>156</c:v>
                </c:pt>
                <c:pt idx="3">
                  <c:v>163</c:v>
                </c:pt>
                <c:pt idx="4">
                  <c:v>190</c:v>
                </c:pt>
                <c:pt idx="5">
                  <c:v>243</c:v>
                </c:pt>
                <c:pt idx="6">
                  <c:v>302</c:v>
                </c:pt>
                <c:pt idx="7">
                  <c:v>348</c:v>
                </c:pt>
                <c:pt idx="8">
                  <c:v>379</c:v>
                </c:pt>
                <c:pt idx="9">
                  <c:v>429</c:v>
                </c:pt>
                <c:pt idx="10">
                  <c:v>474</c:v>
                </c:pt>
                <c:pt idx="11">
                  <c:v>513</c:v>
                </c:pt>
                <c:pt idx="12">
                  <c:v>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4C-437C-AACB-6F64AEE53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671183"/>
        <c:axId val="2054675983"/>
      </c:lineChart>
      <c:catAx>
        <c:axId val="2054671183"/>
        <c:scaling>
          <c:orientation val="minMax"/>
        </c:scaling>
        <c:delete val="0"/>
        <c:axPos val="b"/>
        <c:majorGridlines>
          <c:spPr>
            <a:ln w="9525" cap="flat" cmpd="sng" algn="ctr">
              <a:gradFill flip="none" rotWithShape="1">
                <a:gsLst>
                  <a:gs pos="0">
                    <a:schemeClr val="accent3">
                      <a:lumMod val="40000"/>
                      <a:lumOff val="60000"/>
                      <a:alpha val="54000"/>
                    </a:schemeClr>
                  </a:gs>
                  <a:gs pos="46000">
                    <a:schemeClr val="accent3">
                      <a:lumMod val="95000"/>
                      <a:lumOff val="5000"/>
                    </a:schemeClr>
                  </a:gs>
                  <a:gs pos="100000">
                    <a:schemeClr val="accent3">
                      <a:lumMod val="60000"/>
                    </a:schemeClr>
                  </a:gs>
                </a:gsLst>
                <a:lin ang="16200000" scaled="0"/>
                <a:tileRect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  <a:alpha val="5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54675983"/>
        <c:crosses val="autoZero"/>
        <c:auto val="1"/>
        <c:lblAlgn val="ctr"/>
        <c:lblOffset val="100"/>
        <c:noMultiLvlLbl val="0"/>
      </c:catAx>
      <c:valAx>
        <c:axId val="2054675983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2000"/>
                </a:schemeClr>
              </a:solidFill>
              <a:round/>
              <a:headEnd w="med" len="med"/>
              <a:tailEnd w="med" len="med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  <a:alpha val="4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54671183"/>
        <c:crosses val="autoZero"/>
        <c:crossBetween val="between"/>
      </c:val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[ADP_data.xlsx]Výpočty!Kontingenční tabulka2</c:name>
    <c:fmtId val="4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Počet příchozích dle OŘ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Výpočty!$G$3:$G$4</c:f>
              <c:strCache>
                <c:ptCount val="1"/>
                <c:pt idx="0">
                  <c:v>CDP Praha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Výpočty!$F$5:$F$18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Výpočty!$G$5:$G$18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9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0-46E3-BA14-4B02999B4673}"/>
            </c:ext>
          </c:extLst>
        </c:ser>
        <c:ser>
          <c:idx val="1"/>
          <c:order val="1"/>
          <c:tx>
            <c:strRef>
              <c:f>Výpočty!$H$3:$H$4</c:f>
              <c:strCache>
                <c:ptCount val="1"/>
                <c:pt idx="0">
                  <c:v>CDP Přerov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Výpočty!$F$5:$F$18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Výpočty!$H$5:$H$18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80-46E3-BA14-4B02999B4673}"/>
            </c:ext>
          </c:extLst>
        </c:ser>
        <c:ser>
          <c:idx val="2"/>
          <c:order val="2"/>
          <c:tx>
            <c:strRef>
              <c:f>Výpočty!$I$3:$I$4</c:f>
              <c:strCache>
                <c:ptCount val="1"/>
                <c:pt idx="0">
                  <c:v>GŘ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Výpočty!$F$5:$F$18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Výpočty!$I$5:$I$18</c:f>
              <c:numCache>
                <c:formatCode>General</c:formatCode>
                <c:ptCount val="13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80-46E3-BA14-4B02999B4673}"/>
            </c:ext>
          </c:extLst>
        </c:ser>
        <c:ser>
          <c:idx val="3"/>
          <c:order val="3"/>
          <c:tx>
            <c:strRef>
              <c:f>Výpočty!$J$3:$J$4</c:f>
              <c:strCache>
                <c:ptCount val="1"/>
                <c:pt idx="0">
                  <c:v>OŘ Brno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Výpočty!$F$5:$F$18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Výpočty!$J$5:$J$18</c:f>
              <c:numCache>
                <c:formatCode>General</c:formatCode>
                <c:ptCount val="13"/>
                <c:pt idx="0">
                  <c:v>1</c:v>
                </c:pt>
                <c:pt idx="1">
                  <c:v>25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18</c:v>
                </c:pt>
                <c:pt idx="6">
                  <c:v>12</c:v>
                </c:pt>
                <c:pt idx="7">
                  <c:v>6</c:v>
                </c:pt>
                <c:pt idx="8">
                  <c:v>2</c:v>
                </c:pt>
                <c:pt idx="9">
                  <c:v>8</c:v>
                </c:pt>
                <c:pt idx="10">
                  <c:v>5</c:v>
                </c:pt>
                <c:pt idx="11">
                  <c:v>8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80-46E3-BA14-4B02999B4673}"/>
            </c:ext>
          </c:extLst>
        </c:ser>
        <c:ser>
          <c:idx val="4"/>
          <c:order val="4"/>
          <c:tx>
            <c:strRef>
              <c:f>Výpočty!$K$3:$K$4</c:f>
              <c:strCache>
                <c:ptCount val="1"/>
                <c:pt idx="0">
                  <c:v>OŘ Hr.Králové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Výpočty!$F$5:$F$18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Výpočty!$K$5:$K$18</c:f>
              <c:numCache>
                <c:formatCode>General</c:formatCode>
                <c:ptCount val="13"/>
                <c:pt idx="0">
                  <c:v>11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6</c:v>
                </c:pt>
                <c:pt idx="7">
                  <c:v>10</c:v>
                </c:pt>
                <c:pt idx="8">
                  <c:v>4</c:v>
                </c:pt>
                <c:pt idx="9">
                  <c:v>8</c:v>
                </c:pt>
                <c:pt idx="10">
                  <c:v>13</c:v>
                </c:pt>
                <c:pt idx="11">
                  <c:v>8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80-46E3-BA14-4B02999B4673}"/>
            </c:ext>
          </c:extLst>
        </c:ser>
        <c:ser>
          <c:idx val="5"/>
          <c:order val="5"/>
          <c:tx>
            <c:strRef>
              <c:f>Výpočty!$L$3:$L$4</c:f>
              <c:strCache>
                <c:ptCount val="1"/>
                <c:pt idx="0">
                  <c:v>OŘ Ostrava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Výpočty!$F$5:$F$18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Výpočty!$L$5:$L$18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6</c:v>
                </c:pt>
                <c:pt idx="8">
                  <c:v>3</c:v>
                </c:pt>
                <c:pt idx="9">
                  <c:v>9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80-46E3-BA14-4B02999B4673}"/>
            </c:ext>
          </c:extLst>
        </c:ser>
        <c:ser>
          <c:idx val="6"/>
          <c:order val="6"/>
          <c:tx>
            <c:strRef>
              <c:f>Výpočty!$M$3:$M$4</c:f>
              <c:strCache>
                <c:ptCount val="1"/>
                <c:pt idx="0">
                  <c:v>OŘ Plzeň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Výpočty!$F$5:$F$18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Výpočty!$M$5:$M$18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80-46E3-BA14-4B02999B4673}"/>
            </c:ext>
          </c:extLst>
        </c:ser>
        <c:ser>
          <c:idx val="7"/>
          <c:order val="7"/>
          <c:tx>
            <c:strRef>
              <c:f>Výpočty!$N$3:$N$4</c:f>
              <c:strCache>
                <c:ptCount val="1"/>
                <c:pt idx="0">
                  <c:v>OŘ Praha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Výpočty!$F$5:$F$18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Výpočty!$N$5:$N$18</c:f>
              <c:numCache>
                <c:formatCode>General</c:formatCode>
                <c:ptCount val="13"/>
                <c:pt idx="0">
                  <c:v>74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12</c:v>
                </c:pt>
                <c:pt idx="5">
                  <c:v>5</c:v>
                </c:pt>
                <c:pt idx="6">
                  <c:v>23</c:v>
                </c:pt>
                <c:pt idx="7">
                  <c:v>11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7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80-46E3-BA14-4B02999B4673}"/>
            </c:ext>
          </c:extLst>
        </c:ser>
        <c:ser>
          <c:idx val="8"/>
          <c:order val="8"/>
          <c:tx>
            <c:strRef>
              <c:f>Výpočty!$O$3:$O$4</c:f>
              <c:strCache>
                <c:ptCount val="1"/>
                <c:pt idx="0">
                  <c:v>OŘ Ústí n.L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Výpočty!$F$5:$F$18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Výpočty!$O$5:$O$18</c:f>
              <c:numCache>
                <c:formatCode>General</c:formatCode>
                <c:ptCount val="13"/>
                <c:pt idx="0">
                  <c:v>19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11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8</c:v>
                </c:pt>
                <c:pt idx="10">
                  <c:v>8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80-46E3-BA14-4B02999B46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1126655"/>
        <c:axId val="1181125695"/>
      </c:lineChart>
      <c:catAx>
        <c:axId val="11811266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81125695"/>
        <c:crosses val="autoZero"/>
        <c:auto val="1"/>
        <c:lblAlgn val="ctr"/>
        <c:lblOffset val="100"/>
        <c:noMultiLvlLbl val="0"/>
      </c:catAx>
      <c:valAx>
        <c:axId val="11811256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81126655"/>
        <c:crosses val="autoZero"/>
        <c:crossBetween val="between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[ADP_data.xlsx]Výpočty!Kontingenční tabulka2</c:name>
    <c:fmtId val="4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cs-CZ">
                <a:solidFill>
                  <a:schemeClr val="bg1"/>
                </a:solidFill>
              </a:rPr>
              <a:t>Počet příchozích dle OŘ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ED7D3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0000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F1DED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5B9BD5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33CC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33CC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0000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F1DED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0000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F1DED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rgbClr val="5B9BD5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rgbClr val="33CC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rgbClr val="F1DED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rgbClr val="5B9BD5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9"/>
        <c:spPr>
          <a:solidFill>
            <a:srgbClr val="F1DED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rgbClr val="0000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rgbClr val="33CC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rgbClr val="33CC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rgbClr val="F1DED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rgbClr val="33CC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rgbClr val="F1DED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rgbClr val="F1DED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rgbClr val="0000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rgbClr val="F1DED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rgbClr val="F1DED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1"/>
        <c:spPr>
          <a:solidFill>
            <a:srgbClr val="0000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rgbClr val="ED7D3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rgbClr val="0000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rgbClr val="0000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rgbClr val="0000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rgbClr val="0000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rgbClr val="0000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rgbClr val="0000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rgbClr val="F1DED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rgbClr val="F1DED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rgbClr val="F1DED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rgbClr val="F1DED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rgbClr val="F1DED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rgbClr val="F1DED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rgbClr val="F1DED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rgbClr val="F1DED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rgbClr val="F1DED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rgbClr val="5B9BD5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rgbClr val="5B9BD5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rgbClr val="33CC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rgbClr val="33CC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rgbClr val="33CC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rgbClr val="33CC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rgbClr val="33CC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rgbClr val="33CC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rgbClr val="ED7D3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rgbClr val="0000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rgbClr val="0000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rgbClr val="0000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rgbClr val="0000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rgbClr val="0000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rgbClr val="0000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rgbClr val="F1DED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rgbClr val="F1DED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rgbClr val="F1DED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rgbClr val="F1DED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rgbClr val="F1DED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rgbClr val="F1DED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rgbClr val="F1DED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rgbClr val="F1DED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rgbClr val="F1DED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rgbClr val="5B9BD5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rgbClr val="5B9BD5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rgbClr val="33CC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rgbClr val="33CC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rgbClr val="33CC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rgbClr val="33CC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rgbClr val="33CC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rgbClr val="33CC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rgbClr val="ED7D3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rgbClr val="5B9BD5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4"/>
        <c:spPr>
          <a:solidFill>
            <a:srgbClr val="ED7D3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8371839375912289E-2"/>
          <c:y val="7.6573335826032374E-2"/>
          <c:w val="0.88128502149355081"/>
          <c:h val="0.867938898782084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Výpočty!$G$3:$G$4</c:f>
              <c:strCache>
                <c:ptCount val="1"/>
                <c:pt idx="0">
                  <c:v>CDP Praha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2-26D3-4259-AF0D-8C2073B040F7}"/>
              </c:ext>
            </c:extLst>
          </c:dPt>
          <c:dPt>
            <c:idx val="2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4-26D3-4259-AF0D-8C2073B040F7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26D3-4259-AF0D-8C2073B040F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26D3-4259-AF0D-8C2073B040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Výpočty!$F$5:$F$18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Výpočty!$G$5:$G$18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9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3-4259-AF0D-8C2073B040F7}"/>
            </c:ext>
          </c:extLst>
        </c:ser>
        <c:ser>
          <c:idx val="1"/>
          <c:order val="1"/>
          <c:tx>
            <c:strRef>
              <c:f>Výpočty!$H$3:$H$4</c:f>
              <c:strCache>
                <c:ptCount val="1"/>
                <c:pt idx="0">
                  <c:v>CDP Přerov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6D3-4259-AF0D-8C2073B040F7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26D3-4259-AF0D-8C2073B040F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26D3-4259-AF0D-8C2073B040F7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26D3-4259-AF0D-8C2073B040F7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26D3-4259-AF0D-8C2073B040F7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6D3-4259-AF0D-8C2073B040F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D3-4259-AF0D-8C2073B040F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6D3-4259-AF0D-8C2073B040F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6D3-4259-AF0D-8C2073B040F7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6D3-4259-AF0D-8C2073B040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Výpočty!$F$5:$F$18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Výpočty!$H$5:$H$18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D3-4259-AF0D-8C2073B040F7}"/>
            </c:ext>
          </c:extLst>
        </c:ser>
        <c:ser>
          <c:idx val="2"/>
          <c:order val="2"/>
          <c:tx>
            <c:strRef>
              <c:f>Výpočty!$I$3:$I$4</c:f>
              <c:strCache>
                <c:ptCount val="1"/>
                <c:pt idx="0">
                  <c:v>GŘ</c:v>
                </c:pt>
              </c:strCache>
            </c:strRef>
          </c:tx>
          <c:spPr>
            <a:solidFill>
              <a:srgbClr val="F1DEDE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26D3-4259-AF0D-8C2073B040F7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26D3-4259-AF0D-8C2073B040F7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26D3-4259-AF0D-8C2073B040F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26D3-4259-AF0D-8C2073B040F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26D3-4259-AF0D-8C2073B040F7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26D3-4259-AF0D-8C2073B040F7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26D3-4259-AF0D-8C2073B040F7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26D3-4259-AF0D-8C2073B040F7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6D3-4259-AF0D-8C2073B040F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6D3-4259-AF0D-8C2073B040F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6D3-4259-AF0D-8C2073B040F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6D3-4259-AF0D-8C2073B040F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6D3-4259-AF0D-8C2073B040F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6D3-4259-AF0D-8C2073B040F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6D3-4259-AF0D-8C2073B040F7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6D3-4259-AF0D-8C2073B040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Výpočty!$F$5:$F$18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Výpočty!$I$5:$I$18</c:f>
              <c:numCache>
                <c:formatCode>General</c:formatCode>
                <c:ptCount val="13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6D3-4259-AF0D-8C2073B040F7}"/>
            </c:ext>
          </c:extLst>
        </c:ser>
        <c:ser>
          <c:idx val="3"/>
          <c:order val="3"/>
          <c:tx>
            <c:strRef>
              <c:f>Výpočty!$J$3:$J$4</c:f>
              <c:strCache>
                <c:ptCount val="1"/>
                <c:pt idx="0">
                  <c:v>OŘ Brno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solidFill>
                <a:srgbClr val="5B9BD5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26D3-4259-AF0D-8C2073B040F7}"/>
              </c:ext>
            </c:extLst>
          </c:dPt>
          <c:dLbls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6D3-4259-AF0D-8C2073B040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Výpočty!$F$5:$F$18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Výpočty!$J$5:$J$18</c:f>
              <c:numCache>
                <c:formatCode>General</c:formatCode>
                <c:ptCount val="13"/>
                <c:pt idx="0">
                  <c:v>1</c:v>
                </c:pt>
                <c:pt idx="1">
                  <c:v>25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18</c:v>
                </c:pt>
                <c:pt idx="6">
                  <c:v>12</c:v>
                </c:pt>
                <c:pt idx="7">
                  <c:v>6</c:v>
                </c:pt>
                <c:pt idx="8">
                  <c:v>2</c:v>
                </c:pt>
                <c:pt idx="9">
                  <c:v>8</c:v>
                </c:pt>
                <c:pt idx="10">
                  <c:v>5</c:v>
                </c:pt>
                <c:pt idx="11">
                  <c:v>8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6D3-4259-AF0D-8C2073B040F7}"/>
            </c:ext>
          </c:extLst>
        </c:ser>
        <c:ser>
          <c:idx val="4"/>
          <c:order val="4"/>
          <c:tx>
            <c:strRef>
              <c:f>Výpočty!$K$3:$K$4</c:f>
              <c:strCache>
                <c:ptCount val="1"/>
                <c:pt idx="0">
                  <c:v>OŘ Hr.Králové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26D3-4259-AF0D-8C2073B040F7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6D3-4259-AF0D-8C2073B040F7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26D3-4259-AF0D-8C2073B040F7}"/>
              </c:ext>
            </c:extLst>
          </c:dPt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6D3-4259-AF0D-8C2073B040F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6D3-4259-AF0D-8C2073B040F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6D3-4259-AF0D-8C2073B040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Výpočty!$F$5:$F$18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Výpočty!$K$5:$K$18</c:f>
              <c:numCache>
                <c:formatCode>General</c:formatCode>
                <c:ptCount val="13"/>
                <c:pt idx="0">
                  <c:v>11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6</c:v>
                </c:pt>
                <c:pt idx="7">
                  <c:v>10</c:v>
                </c:pt>
                <c:pt idx="8">
                  <c:v>4</c:v>
                </c:pt>
                <c:pt idx="9">
                  <c:v>8</c:v>
                </c:pt>
                <c:pt idx="10">
                  <c:v>13</c:v>
                </c:pt>
                <c:pt idx="11">
                  <c:v>8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6D3-4259-AF0D-8C2073B040F7}"/>
            </c:ext>
          </c:extLst>
        </c:ser>
        <c:ser>
          <c:idx val="5"/>
          <c:order val="5"/>
          <c:tx>
            <c:strRef>
              <c:f>Výpočty!$L$3:$L$4</c:f>
              <c:strCache>
                <c:ptCount val="1"/>
                <c:pt idx="0">
                  <c:v>OŘ Ostrava</c:v>
                </c:pt>
              </c:strCache>
            </c:strRef>
          </c:tx>
          <c:spPr>
            <a:solidFill>
              <a:srgbClr val="33CCCC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33CCCC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26D3-4259-AF0D-8C2073B040F7}"/>
              </c:ext>
            </c:extLst>
          </c:dPt>
          <c:dPt>
            <c:idx val="1"/>
            <c:invertIfNegative val="0"/>
            <c:bubble3D val="0"/>
            <c:spPr>
              <a:solidFill>
                <a:srgbClr val="33CCCC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26D3-4259-AF0D-8C2073B040F7}"/>
              </c:ext>
            </c:extLst>
          </c:dPt>
          <c:dPt>
            <c:idx val="2"/>
            <c:invertIfNegative val="0"/>
            <c:bubble3D val="0"/>
            <c:spPr>
              <a:solidFill>
                <a:srgbClr val="33CCCC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26D3-4259-AF0D-8C2073B040F7}"/>
              </c:ext>
            </c:extLst>
          </c:dPt>
          <c:dPt>
            <c:idx val="3"/>
            <c:invertIfNegative val="0"/>
            <c:bubble3D val="0"/>
            <c:spPr>
              <a:solidFill>
                <a:srgbClr val="33CCCC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6D3-4259-AF0D-8C2073B040F7}"/>
              </c:ext>
            </c:extLst>
          </c:dPt>
          <c:dPt>
            <c:idx val="4"/>
            <c:invertIfNegative val="0"/>
            <c:bubble3D val="0"/>
            <c:spPr>
              <a:solidFill>
                <a:srgbClr val="33CCCC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26D3-4259-AF0D-8C2073B040F7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6D3-4259-AF0D-8C2073B040F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6D3-4259-AF0D-8C2073B040F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6D3-4259-AF0D-8C2073B040F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6D3-4259-AF0D-8C2073B040F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6D3-4259-AF0D-8C2073B040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Výpočty!$F$5:$F$18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Výpočty!$L$5:$L$18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6</c:v>
                </c:pt>
                <c:pt idx="8">
                  <c:v>3</c:v>
                </c:pt>
                <c:pt idx="9">
                  <c:v>9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6D3-4259-AF0D-8C2073B040F7}"/>
            </c:ext>
          </c:extLst>
        </c:ser>
        <c:ser>
          <c:idx val="6"/>
          <c:order val="6"/>
          <c:tx>
            <c:strRef>
              <c:f>Výpočty!$M$3:$M$4</c:f>
              <c:strCache>
                <c:ptCount val="1"/>
                <c:pt idx="0">
                  <c:v>OŘ Plzeň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26D3-4259-AF0D-8C2073B040F7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26D3-4259-AF0D-8C2073B040F7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26D3-4259-AF0D-8C2073B040F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26D3-4259-AF0D-8C2073B040F7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26D3-4259-AF0D-8C2073B040F7}"/>
              </c:ext>
            </c:extLst>
          </c:dPt>
          <c:dPt>
            <c:idx val="1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26D3-4259-AF0D-8C2073B040F7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6D3-4259-AF0D-8C2073B040F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6D3-4259-AF0D-8C2073B040F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6D3-4259-AF0D-8C2073B040F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6D3-4259-AF0D-8C2073B040F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6D3-4259-AF0D-8C2073B040F7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6D3-4259-AF0D-8C2073B040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Výpočty!$F$5:$F$18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Výpočty!$M$5:$M$18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26D3-4259-AF0D-8C2073B040F7}"/>
            </c:ext>
          </c:extLst>
        </c:ser>
        <c:ser>
          <c:idx val="7"/>
          <c:order val="7"/>
          <c:tx>
            <c:strRef>
              <c:f>Výpočty!$N$3:$N$4</c:f>
              <c:strCache>
                <c:ptCount val="1"/>
                <c:pt idx="0">
                  <c:v>OŘ Praha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26D3-4259-AF0D-8C2073B040F7}"/>
              </c:ext>
            </c:extLst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6D3-4259-AF0D-8C2073B040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Výpočty!$F$5:$F$18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Výpočty!$N$5:$N$18</c:f>
              <c:numCache>
                <c:formatCode>General</c:formatCode>
                <c:ptCount val="13"/>
                <c:pt idx="0">
                  <c:v>74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12</c:v>
                </c:pt>
                <c:pt idx="5">
                  <c:v>5</c:v>
                </c:pt>
                <c:pt idx="6">
                  <c:v>23</c:v>
                </c:pt>
                <c:pt idx="7">
                  <c:v>11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7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26D3-4259-AF0D-8C2073B040F7}"/>
            </c:ext>
          </c:extLst>
        </c:ser>
        <c:ser>
          <c:idx val="8"/>
          <c:order val="8"/>
          <c:tx>
            <c:strRef>
              <c:f>Výpočty!$O$3:$O$4</c:f>
              <c:strCache>
                <c:ptCount val="1"/>
                <c:pt idx="0">
                  <c:v>OŘ Ústí n.L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26D3-4259-AF0D-8C2073B040F7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0-26D3-4259-AF0D-8C2073B040F7}"/>
              </c:ext>
            </c:extLst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26D3-4259-AF0D-8C2073B040F7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26D3-4259-AF0D-8C2073B040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Výpočty!$F$5:$F$18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Výpočty!$O$5:$O$18</c:f>
              <c:numCache>
                <c:formatCode>General</c:formatCode>
                <c:ptCount val="13"/>
                <c:pt idx="0">
                  <c:v>19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11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8</c:v>
                </c:pt>
                <c:pt idx="10">
                  <c:v>8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D3-4259-AF0D-8C2073B040F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81126655"/>
        <c:axId val="1181125695"/>
      </c:barChart>
      <c:catAx>
        <c:axId val="118112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81125695"/>
        <c:crosses val="autoZero"/>
        <c:auto val="1"/>
        <c:lblAlgn val="ctr"/>
        <c:lblOffset val="100"/>
        <c:noMultiLvlLbl val="0"/>
      </c:catAx>
      <c:valAx>
        <c:axId val="1181125695"/>
        <c:scaling>
          <c:orientation val="minMax"/>
          <c:max val="115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členů</a:t>
                </a:r>
              </a:p>
            </c:rich>
          </c:tx>
          <c:layout>
            <c:manualLayout>
              <c:xMode val="edge"/>
              <c:yMode val="edge"/>
              <c:x val="1.2046200431954639E-2"/>
              <c:y val="0.45828574662928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81126655"/>
        <c:crosses val="autoZero"/>
        <c:crossBetween val="between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cs-CZ" sz="1800" b="1">
                <a:solidFill>
                  <a:schemeClr val="bg1"/>
                </a:solidFill>
              </a:rPr>
              <a:t>Počet členů dle</a:t>
            </a:r>
            <a:r>
              <a:rPr lang="cs-CZ" sz="1800" b="1" baseline="0">
                <a:solidFill>
                  <a:schemeClr val="bg1"/>
                </a:solidFill>
              </a:rPr>
              <a:t> OŘ</a:t>
            </a:r>
            <a:endParaRPr lang="en-US" sz="1800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4224254943698284"/>
          <c:y val="3.06911161111188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409721101593839E-2"/>
          <c:y val="0.10774096384779261"/>
          <c:w val="0.80317798991215494"/>
          <c:h val="0.84804394025260521"/>
        </c:manualLayout>
      </c:layout>
      <c:lineChart>
        <c:grouping val="standard"/>
        <c:varyColors val="0"/>
        <c:ser>
          <c:idx val="1"/>
          <c:order val="1"/>
          <c:tx>
            <c:strRef>
              <c:f>Výpočty!$H$23</c:f>
              <c:strCache>
                <c:ptCount val="1"/>
                <c:pt idx="0">
                  <c:v>CDP Praha</c:v>
                </c:pt>
              </c:strCache>
            </c:strRef>
          </c:tx>
          <c:spPr>
            <a:ln w="31750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38D-4690-996B-7FEE175D897A}"/>
                </c:ext>
              </c:extLst>
            </c:dLbl>
            <c:dLbl>
              <c:idx val="1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8D-4690-996B-7FEE175D89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Výpočty!$F$24:$F$36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Výpočty!$H$24:$H$36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</c:v>
                </c:pt>
                <c:pt idx="5">
                  <c:v>54</c:v>
                </c:pt>
                <c:pt idx="6">
                  <c:v>62</c:v>
                </c:pt>
                <c:pt idx="7">
                  <c:v>67</c:v>
                </c:pt>
                <c:pt idx="8">
                  <c:v>75</c:v>
                </c:pt>
                <c:pt idx="9">
                  <c:v>82</c:v>
                </c:pt>
                <c:pt idx="10">
                  <c:v>89</c:v>
                </c:pt>
                <c:pt idx="11">
                  <c:v>98</c:v>
                </c:pt>
                <c:pt idx="1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8D-4690-996B-7FEE175D897A}"/>
            </c:ext>
          </c:extLst>
        </c:ser>
        <c:ser>
          <c:idx val="2"/>
          <c:order val="2"/>
          <c:tx>
            <c:strRef>
              <c:f>Výpočty!$I$23</c:f>
              <c:strCache>
                <c:ptCount val="1"/>
                <c:pt idx="0">
                  <c:v>CDP Přerov</c:v>
                </c:pt>
              </c:strCache>
            </c:strRef>
          </c:tx>
          <c:spPr>
            <a:ln w="31750" cap="rnd">
              <a:solidFill>
                <a:srgbClr val="0000FF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12"/>
              <c:layout>
                <c:manualLayout>
                  <c:x val="-6.3908696111633897E-5"/>
                  <c:y val="-1.04875092372247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38D-4690-996B-7FEE175D89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Výpočty!$F$24:$F$36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Výpočty!$I$24:$I$36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8D-4690-996B-7FEE175D897A}"/>
            </c:ext>
          </c:extLst>
        </c:ser>
        <c:ser>
          <c:idx val="3"/>
          <c:order val="3"/>
          <c:tx>
            <c:strRef>
              <c:f>Výpočty!$J$23</c:f>
              <c:strCache>
                <c:ptCount val="1"/>
                <c:pt idx="0">
                  <c:v>GŘ</c:v>
                </c:pt>
              </c:strCache>
            </c:strRef>
          </c:tx>
          <c:spPr>
            <a:ln w="31750" cap="rnd">
              <a:solidFill>
                <a:srgbClr val="F1DEDE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2.5329146558910911E-2"/>
                  <c:y val="-2.410899734298744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38D-4690-996B-7FEE175D897A}"/>
                </c:ext>
              </c:extLst>
            </c:dLbl>
            <c:dLbl>
              <c:idx val="12"/>
              <c:layout>
                <c:manualLayout>
                  <c:x val="-9.6662322217245956E-3"/>
                  <c:y val="2.14596150446248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38D-4690-996B-7FEE175D89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Výpočty!$F$24:$F$36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Výpočty!$J$24:$J$36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38D-4690-996B-7FEE175D897A}"/>
            </c:ext>
          </c:extLst>
        </c:ser>
        <c:ser>
          <c:idx val="4"/>
          <c:order val="4"/>
          <c:tx>
            <c:strRef>
              <c:f>Výpočty!$K$23</c:f>
              <c:strCache>
                <c:ptCount val="1"/>
                <c:pt idx="0">
                  <c:v>OŘ Brno</c:v>
                </c:pt>
              </c:strCache>
            </c:strRef>
          </c:tx>
          <c:spPr>
            <a:ln w="31750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1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38D-4690-996B-7FEE175D89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Výpočty!$F$24:$F$36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Výpočty!$K$24:$K$36</c:f>
              <c:numCache>
                <c:formatCode>General</c:formatCode>
                <c:ptCount val="13"/>
                <c:pt idx="0">
                  <c:v>1</c:v>
                </c:pt>
                <c:pt idx="1">
                  <c:v>26</c:v>
                </c:pt>
                <c:pt idx="2">
                  <c:v>27</c:v>
                </c:pt>
                <c:pt idx="3">
                  <c:v>29</c:v>
                </c:pt>
                <c:pt idx="4">
                  <c:v>34</c:v>
                </c:pt>
                <c:pt idx="5">
                  <c:v>52</c:v>
                </c:pt>
                <c:pt idx="6">
                  <c:v>64</c:v>
                </c:pt>
                <c:pt idx="7">
                  <c:v>70</c:v>
                </c:pt>
                <c:pt idx="8">
                  <c:v>72</c:v>
                </c:pt>
                <c:pt idx="9">
                  <c:v>80</c:v>
                </c:pt>
                <c:pt idx="10">
                  <c:v>85</c:v>
                </c:pt>
                <c:pt idx="11">
                  <c:v>93</c:v>
                </c:pt>
                <c:pt idx="12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38D-4690-996B-7FEE175D897A}"/>
            </c:ext>
          </c:extLst>
        </c:ser>
        <c:ser>
          <c:idx val="5"/>
          <c:order val="5"/>
          <c:tx>
            <c:strRef>
              <c:f>Výpočty!$L$23</c:f>
              <c:strCache>
                <c:ptCount val="1"/>
                <c:pt idx="0">
                  <c:v>OŘ Hr.Králové</c:v>
                </c:pt>
              </c:strCache>
            </c:strRef>
          </c:tx>
          <c:spPr>
            <a:ln w="31750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38D-4690-996B-7FEE175D897A}"/>
                </c:ext>
              </c:extLst>
            </c:dLbl>
            <c:dLbl>
              <c:idx val="1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38D-4690-996B-7FEE175D89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Výpočty!$F$24:$F$36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Výpočty!$L$24:$L$36</c:f>
              <c:numCache>
                <c:formatCode>General</c:formatCode>
                <c:ptCount val="13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24</c:v>
                </c:pt>
                <c:pt idx="6">
                  <c:v>30</c:v>
                </c:pt>
                <c:pt idx="7">
                  <c:v>40</c:v>
                </c:pt>
                <c:pt idx="8">
                  <c:v>44</c:v>
                </c:pt>
                <c:pt idx="9">
                  <c:v>52</c:v>
                </c:pt>
                <c:pt idx="10">
                  <c:v>65</c:v>
                </c:pt>
                <c:pt idx="11">
                  <c:v>73</c:v>
                </c:pt>
                <c:pt idx="1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38D-4690-996B-7FEE175D897A}"/>
            </c:ext>
          </c:extLst>
        </c:ser>
        <c:ser>
          <c:idx val="6"/>
          <c:order val="6"/>
          <c:tx>
            <c:strRef>
              <c:f>Výpočty!$M$23</c:f>
              <c:strCache>
                <c:ptCount val="1"/>
                <c:pt idx="0">
                  <c:v>OŘ Ostrava</c:v>
                </c:pt>
              </c:strCache>
            </c:strRef>
          </c:tx>
          <c:spPr>
            <a:ln w="31750" cap="rnd">
              <a:solidFill>
                <a:srgbClr val="33CCCC"/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1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38D-4690-996B-7FEE175D89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Výpočty!$F$24:$F$36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Výpočty!$M$24:$M$36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10</c:v>
                </c:pt>
                <c:pt idx="8">
                  <c:v>13</c:v>
                </c:pt>
                <c:pt idx="9">
                  <c:v>22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38D-4690-996B-7FEE175D897A}"/>
            </c:ext>
          </c:extLst>
        </c:ser>
        <c:ser>
          <c:idx val="7"/>
          <c:order val="7"/>
          <c:tx>
            <c:strRef>
              <c:f>Výpočty!$N$23</c:f>
              <c:strCache>
                <c:ptCount val="1"/>
                <c:pt idx="0">
                  <c:v>OŘ Plzeň</c:v>
                </c:pt>
              </c:strCache>
            </c:strRef>
          </c:tx>
          <c:spPr>
            <a:ln w="31750" cap="rnd">
              <a:solidFill>
                <a:srgbClr val="7E1F86"/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1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38D-4690-996B-7FEE175D89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Výpočty!$F$24:$F$36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Výpočty!$N$24:$N$36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6</c:v>
                </c:pt>
                <c:pt idx="8">
                  <c:v>8</c:v>
                </c:pt>
                <c:pt idx="9">
                  <c:v>11</c:v>
                </c:pt>
                <c:pt idx="10">
                  <c:v>15</c:v>
                </c:pt>
                <c:pt idx="11">
                  <c:v>17</c:v>
                </c:pt>
                <c:pt idx="1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38D-4690-996B-7FEE175D897A}"/>
            </c:ext>
          </c:extLst>
        </c:ser>
        <c:ser>
          <c:idx val="8"/>
          <c:order val="8"/>
          <c:tx>
            <c:strRef>
              <c:f>Výpočty!$O$23</c:f>
              <c:strCache>
                <c:ptCount val="1"/>
                <c:pt idx="0">
                  <c:v>OŘ Praha</c:v>
                </c:pt>
              </c:strCache>
            </c:strRef>
          </c:tx>
          <c:spPr>
            <a:ln w="31750" cap="rnd">
              <a:solidFill>
                <a:srgbClr val="FF0000">
                  <a:alpha val="93000"/>
                </a:srgb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2.7511729174739125E-2"/>
                  <c:y val="-2.8927998616165292E-2"/>
                </c:manualLayout>
              </c:layout>
              <c:tx>
                <c:rich>
                  <a:bodyPr rot="0" spcFirstLastPara="1" vertOverflow="overflow" horzOverflow="overflow" vert="horz" wrap="square" lIns="72000" tIns="36000" rIns="72000" bIns="36000" anchor="ctr" anchorCtr="1">
                    <a:noAutofit/>
                  </a:bodyPr>
                  <a:lstStyle/>
                  <a:p>
                    <a:pPr>
                      <a:defRPr sz="1100" b="1" i="0" u="none" strike="noStrike" kern="1200" baseline="0">
                        <a:solidFill>
                          <a:srgbClr val="FFFFFF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608ADC9-8619-4016-9886-A7A0525DEA65}" type="VALUE">
                      <a:rPr lang="en-US" sz="1100" b="1"/>
                      <a:pPr>
                        <a:defRPr sz="1100" b="1">
                          <a:solidFill>
                            <a:srgbClr val="FFFFFF"/>
                          </a:solidFill>
                        </a:defRPr>
                      </a:pPr>
                      <a:t>[HODNOTA]</a:t>
                    </a:fld>
                    <a:endParaRPr lang="cs-CZ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72000" tIns="36000" rIns="72000" bIns="3600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rgbClr val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3.1590437514572349E-2"/>
                      <c:h val="4.493342202764871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E38D-4690-996B-7FEE175D897A}"/>
                </c:ext>
              </c:extLst>
            </c:dLbl>
            <c:dLbl>
              <c:idx val="1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38D-4690-996B-7FEE175D89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72000" tIns="36000" rIns="72000" bIns="3600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Výpočty!$F$24:$F$36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Výpočty!$O$24:$O$36</c:f>
              <c:numCache>
                <c:formatCode>General</c:formatCode>
                <c:ptCount val="13"/>
                <c:pt idx="0">
                  <c:v>74</c:v>
                </c:pt>
                <c:pt idx="1">
                  <c:v>80</c:v>
                </c:pt>
                <c:pt idx="2">
                  <c:v>86</c:v>
                </c:pt>
                <c:pt idx="3">
                  <c:v>90</c:v>
                </c:pt>
                <c:pt idx="4">
                  <c:v>60</c:v>
                </c:pt>
                <c:pt idx="5">
                  <c:v>65</c:v>
                </c:pt>
                <c:pt idx="6">
                  <c:v>88</c:v>
                </c:pt>
                <c:pt idx="7">
                  <c:v>99</c:v>
                </c:pt>
                <c:pt idx="8">
                  <c:v>105</c:v>
                </c:pt>
                <c:pt idx="9">
                  <c:v>110</c:v>
                </c:pt>
                <c:pt idx="10">
                  <c:v>114</c:v>
                </c:pt>
                <c:pt idx="11">
                  <c:v>121</c:v>
                </c:pt>
                <c:pt idx="12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38D-4690-996B-7FEE175D897A}"/>
            </c:ext>
          </c:extLst>
        </c:ser>
        <c:ser>
          <c:idx val="9"/>
          <c:order val="9"/>
          <c:tx>
            <c:strRef>
              <c:f>Výpočty!$P$23</c:f>
              <c:strCache>
                <c:ptCount val="1"/>
                <c:pt idx="0">
                  <c:v>OŘ Ústí n.L</c:v>
                </c:pt>
              </c:strCache>
            </c:strRef>
          </c:tx>
          <c:spPr>
            <a:ln w="31750" cap="rnd">
              <a:solidFill>
                <a:srgbClr val="FFC000"/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38D-4690-996B-7FEE175D897A}"/>
                </c:ext>
              </c:extLst>
            </c:dLbl>
            <c:dLbl>
              <c:idx val="1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38D-4690-996B-7FEE175D89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Výpočty!$F$24:$F$36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Výpočty!$P$24:$P$36</c:f>
              <c:numCache>
                <c:formatCode>General</c:formatCode>
                <c:ptCount val="13"/>
                <c:pt idx="0">
                  <c:v>19</c:v>
                </c:pt>
                <c:pt idx="1">
                  <c:v>20</c:v>
                </c:pt>
                <c:pt idx="2">
                  <c:v>22</c:v>
                </c:pt>
                <c:pt idx="3">
                  <c:v>22</c:v>
                </c:pt>
                <c:pt idx="4">
                  <c:v>24</c:v>
                </c:pt>
                <c:pt idx="5">
                  <c:v>35</c:v>
                </c:pt>
                <c:pt idx="6">
                  <c:v>38</c:v>
                </c:pt>
                <c:pt idx="7">
                  <c:v>41</c:v>
                </c:pt>
                <c:pt idx="8">
                  <c:v>43</c:v>
                </c:pt>
                <c:pt idx="9">
                  <c:v>51</c:v>
                </c:pt>
                <c:pt idx="10">
                  <c:v>59</c:v>
                </c:pt>
                <c:pt idx="11">
                  <c:v>62</c:v>
                </c:pt>
                <c:pt idx="12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38D-4690-996B-7FEE175D8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272015"/>
        <c:axId val="13692710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Výpočty!$G$23</c15:sqref>
                        </c15:formulaRef>
                      </c:ext>
                    </c:extLst>
                    <c:strCache>
                      <c:ptCount val="1"/>
                      <c:pt idx="0">
                        <c:v>Počet členů celkem</c:v>
                      </c:pt>
                    </c:strCache>
                  </c:strRef>
                </c:tx>
                <c:spPr>
                  <a:ln w="25400" cap="rnd">
                    <a:solidFill>
                      <a:srgbClr val="FF0000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Výpočty!$F$24:$F$36</c15:sqref>
                        </c15:formulaRef>
                      </c:ext>
                    </c:extLst>
                    <c:strCache>
                      <c:ptCount val="13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  <c:pt idx="10">
                        <c:v>2023</c:v>
                      </c:pt>
                      <c:pt idx="11">
                        <c:v>2024</c:v>
                      </c:pt>
                      <c:pt idx="12">
                        <c:v>2025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Výpočty!$G$24:$G$36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112</c:v>
                      </c:pt>
                      <c:pt idx="1">
                        <c:v>147</c:v>
                      </c:pt>
                      <c:pt idx="2">
                        <c:v>156</c:v>
                      </c:pt>
                      <c:pt idx="3">
                        <c:v>163</c:v>
                      </c:pt>
                      <c:pt idx="4">
                        <c:v>190</c:v>
                      </c:pt>
                      <c:pt idx="5">
                        <c:v>243</c:v>
                      </c:pt>
                      <c:pt idx="6">
                        <c:v>302</c:v>
                      </c:pt>
                      <c:pt idx="7">
                        <c:v>348</c:v>
                      </c:pt>
                      <c:pt idx="8">
                        <c:v>379</c:v>
                      </c:pt>
                      <c:pt idx="9">
                        <c:v>429</c:v>
                      </c:pt>
                      <c:pt idx="10">
                        <c:v>474</c:v>
                      </c:pt>
                      <c:pt idx="11">
                        <c:v>513</c:v>
                      </c:pt>
                      <c:pt idx="12">
                        <c:v>523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E38D-4690-996B-7FEE175D897A}"/>
                  </c:ext>
                </c:extLst>
              </c15:ser>
            </c15:filteredLineSeries>
          </c:ext>
        </c:extLst>
      </c:lineChart>
      <c:catAx>
        <c:axId val="13692720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FFFFFF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FFFF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69271055"/>
        <c:crosses val="autoZero"/>
        <c:auto val="1"/>
        <c:lblAlgn val="ctr"/>
        <c:lblOffset val="100"/>
        <c:noMultiLvlLbl val="0"/>
      </c:catAx>
      <c:valAx>
        <c:axId val="1369271055"/>
        <c:scaling>
          <c:orientation val="minMax"/>
          <c:max val="13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FFFFFF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FFFF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6927201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rgbClr val="FFFFFF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</c:legendEntry>
      <c:layout>
        <c:manualLayout>
          <c:xMode val="edge"/>
          <c:yMode val="edge"/>
          <c:x val="0.86965259501176695"/>
          <c:y val="0.37327710656418489"/>
          <c:w val="0.10904450628435512"/>
          <c:h val="0.29055774394222489"/>
        </c:manualLayout>
      </c:layout>
      <c:overlay val="0"/>
      <c:spPr>
        <a:noFill/>
        <a:ln>
          <a:solidFill>
            <a:srgbClr val="FFFFFF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rgbClr val="FFFFFF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rgbClr val="FFFFFF"/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Složení počtu členů dle OŘ</a:t>
            </a:r>
            <a:r>
              <a:rPr lang="cs-CZ">
                <a:solidFill>
                  <a:schemeClr val="bg1"/>
                </a:solidFill>
              </a:rPr>
              <a:t> v %</a:t>
            </a:r>
            <a:endParaRPr lang="en-US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39613671156160218"/>
          <c:y val="3.28533705809019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1"/>
          <c:tx>
            <c:strRef>
              <c:f>Výpočty!$H$41</c:f>
              <c:strCache>
                <c:ptCount val="1"/>
                <c:pt idx="0">
                  <c:v>CDP Praha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Výpočty!$F$42:$F$54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Výpočty!$H$42:$H$54</c:f>
              <c:numCache>
                <c:formatCode>0.0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26.315789473684209</c:v>
                </c:pt>
                <c:pt idx="5">
                  <c:v>22.222222222222221</c:v>
                </c:pt>
                <c:pt idx="6">
                  <c:v>20.52980132450331</c:v>
                </c:pt>
                <c:pt idx="7">
                  <c:v>19.25287356321839</c:v>
                </c:pt>
                <c:pt idx="8">
                  <c:v>19.788918205804748</c:v>
                </c:pt>
                <c:pt idx="9">
                  <c:v>19.114219114219114</c:v>
                </c:pt>
                <c:pt idx="10">
                  <c:v>18.776371308016877</c:v>
                </c:pt>
                <c:pt idx="11">
                  <c:v>19.103313840155945</c:v>
                </c:pt>
                <c:pt idx="12">
                  <c:v>19.120458891013385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3-47D5-922C-E68CDF553E00}"/>
            </c:ext>
          </c:extLst>
        </c:ser>
        <c:ser>
          <c:idx val="2"/>
          <c:order val="2"/>
          <c:tx>
            <c:strRef>
              <c:f>Výpočty!$I$41</c:f>
              <c:strCache>
                <c:ptCount val="1"/>
                <c:pt idx="0">
                  <c:v>CDP Přerov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AF3-47D5-922C-E68CDF553E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Výpočty!$F$42:$F$54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Výpočty!$I$42:$I$54</c:f>
              <c:numCache>
                <c:formatCode>0.0</c:formatCode>
                <c:ptCount val="13"/>
                <c:pt idx="0">
                  <c:v>0</c:v>
                </c:pt>
                <c:pt idx="1">
                  <c:v>0.68027210884353739</c:v>
                </c:pt>
                <c:pt idx="2">
                  <c:v>0.64102564102564097</c:v>
                </c:pt>
                <c:pt idx="3">
                  <c:v>1.2269938650306749</c:v>
                </c:pt>
                <c:pt idx="4">
                  <c:v>1.0526315789473684</c:v>
                </c:pt>
                <c:pt idx="5">
                  <c:v>1.6460905349794239</c:v>
                </c:pt>
                <c:pt idx="6">
                  <c:v>1.6556291390728477</c:v>
                </c:pt>
                <c:pt idx="7">
                  <c:v>2.0114942528735633</c:v>
                </c:pt>
                <c:pt idx="8">
                  <c:v>2.6385224274406331</c:v>
                </c:pt>
                <c:pt idx="9">
                  <c:v>2.5641025641025639</c:v>
                </c:pt>
                <c:pt idx="10">
                  <c:v>2.3206751054852321</c:v>
                </c:pt>
                <c:pt idx="11">
                  <c:v>2.3391812865497075</c:v>
                </c:pt>
                <c:pt idx="12">
                  <c:v>2.2944550669216062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F3-47D5-922C-E68CDF553E00}"/>
            </c:ext>
          </c:extLst>
        </c:ser>
        <c:ser>
          <c:idx val="3"/>
          <c:order val="3"/>
          <c:tx>
            <c:strRef>
              <c:f>Výpočty!$J$41</c:f>
              <c:strCache>
                <c:ptCount val="1"/>
                <c:pt idx="0">
                  <c:v>GŘ</c:v>
                </c:pt>
              </c:strCache>
            </c:strRef>
          </c:tx>
          <c:spPr>
            <a:solidFill>
              <a:srgbClr val="F1DEDE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Výpočty!$F$42:$F$54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Výpočty!$J$42:$J$54</c:f>
              <c:numCache>
                <c:formatCode>0.0</c:formatCode>
                <c:ptCount val="13"/>
                <c:pt idx="0">
                  <c:v>6.25</c:v>
                </c:pt>
                <c:pt idx="1">
                  <c:v>4.7619047619047619</c:v>
                </c:pt>
                <c:pt idx="2">
                  <c:v>4.4871794871794872</c:v>
                </c:pt>
                <c:pt idx="3">
                  <c:v>4.294478527607362</c:v>
                </c:pt>
                <c:pt idx="4">
                  <c:v>3.6842105263157889</c:v>
                </c:pt>
                <c:pt idx="5">
                  <c:v>2.880658436213992</c:v>
                </c:pt>
                <c:pt idx="6">
                  <c:v>2.6490066225165565</c:v>
                </c:pt>
                <c:pt idx="7">
                  <c:v>2.2988505747126435</c:v>
                </c:pt>
                <c:pt idx="8">
                  <c:v>2.3746701846965697</c:v>
                </c:pt>
                <c:pt idx="9">
                  <c:v>2.3310023310023311</c:v>
                </c:pt>
                <c:pt idx="10">
                  <c:v>2.3206751054852321</c:v>
                </c:pt>
                <c:pt idx="11">
                  <c:v>2.144249512670565</c:v>
                </c:pt>
                <c:pt idx="12">
                  <c:v>2.1032504780114722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F3-47D5-922C-E68CDF553E00}"/>
            </c:ext>
          </c:extLst>
        </c:ser>
        <c:ser>
          <c:idx val="4"/>
          <c:order val="4"/>
          <c:tx>
            <c:strRef>
              <c:f>Výpočty!$K$41</c:f>
              <c:strCache>
                <c:ptCount val="1"/>
                <c:pt idx="0">
                  <c:v>OŘ Brno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Výpočty!$F$42:$F$54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Výpočty!$K$42:$K$54</c:f>
              <c:numCache>
                <c:formatCode>0.0</c:formatCode>
                <c:ptCount val="13"/>
                <c:pt idx="0">
                  <c:v>0.89285714285714279</c:v>
                </c:pt>
                <c:pt idx="1">
                  <c:v>17.687074829931973</c:v>
                </c:pt>
                <c:pt idx="2">
                  <c:v>17.307692307692307</c:v>
                </c:pt>
                <c:pt idx="3">
                  <c:v>17.791411042944784</c:v>
                </c:pt>
                <c:pt idx="4">
                  <c:v>17.894736842105264</c:v>
                </c:pt>
                <c:pt idx="5">
                  <c:v>21.399176954732511</c:v>
                </c:pt>
                <c:pt idx="6">
                  <c:v>21.192052980132452</c:v>
                </c:pt>
                <c:pt idx="7">
                  <c:v>20.114942528735632</c:v>
                </c:pt>
                <c:pt idx="8">
                  <c:v>18.997361477572557</c:v>
                </c:pt>
                <c:pt idx="9">
                  <c:v>18.648018648018649</c:v>
                </c:pt>
                <c:pt idx="10">
                  <c:v>17.932489451476794</c:v>
                </c:pt>
                <c:pt idx="11">
                  <c:v>18.128654970760234</c:v>
                </c:pt>
                <c:pt idx="12">
                  <c:v>17.782026768642449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F3-47D5-922C-E68CDF553E00}"/>
            </c:ext>
          </c:extLst>
        </c:ser>
        <c:ser>
          <c:idx val="5"/>
          <c:order val="5"/>
          <c:tx>
            <c:strRef>
              <c:f>Výpočty!$L$41</c:f>
              <c:strCache>
                <c:ptCount val="1"/>
                <c:pt idx="0">
                  <c:v>OŘ Hr.Králové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Výpočty!$F$42:$F$54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Výpočty!$L$42:$L$54</c:f>
              <c:numCache>
                <c:formatCode>0.0</c:formatCode>
                <c:ptCount val="13"/>
                <c:pt idx="0">
                  <c:v>9.8214285714285712</c:v>
                </c:pt>
                <c:pt idx="1">
                  <c:v>8.8435374149659864</c:v>
                </c:pt>
                <c:pt idx="2">
                  <c:v>8.3333333333333321</c:v>
                </c:pt>
                <c:pt idx="3">
                  <c:v>7.9754601226993866</c:v>
                </c:pt>
                <c:pt idx="4">
                  <c:v>6.8421052631578956</c:v>
                </c:pt>
                <c:pt idx="5">
                  <c:v>9.8765432098765427</c:v>
                </c:pt>
                <c:pt idx="6">
                  <c:v>9.9337748344370862</c:v>
                </c:pt>
                <c:pt idx="7">
                  <c:v>11.494252873563218</c:v>
                </c:pt>
                <c:pt idx="8">
                  <c:v>11.609498680738787</c:v>
                </c:pt>
                <c:pt idx="9">
                  <c:v>12.121212121212121</c:v>
                </c:pt>
                <c:pt idx="10">
                  <c:v>13.71308016877637</c:v>
                </c:pt>
                <c:pt idx="11">
                  <c:v>14.230019493177387</c:v>
                </c:pt>
                <c:pt idx="12">
                  <c:v>14.340344168260039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F3-47D5-922C-E68CDF553E00}"/>
            </c:ext>
          </c:extLst>
        </c:ser>
        <c:ser>
          <c:idx val="6"/>
          <c:order val="6"/>
          <c:tx>
            <c:strRef>
              <c:f>Výpočty!$M$41</c:f>
              <c:strCache>
                <c:ptCount val="1"/>
                <c:pt idx="0">
                  <c:v>OŘ Ostrava</c:v>
                </c:pt>
              </c:strCache>
            </c:strRef>
          </c:tx>
          <c:spPr>
            <a:solidFill>
              <a:srgbClr val="33CCCC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AF3-47D5-922C-E68CDF553E0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AF3-47D5-922C-E68CDF553E0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AF3-47D5-922C-E68CDF553E0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AF3-47D5-922C-E68CDF553E0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AF3-47D5-922C-E68CDF553E00}"/>
                </c:ext>
              </c:extLst>
            </c:dLbl>
            <c:dLbl>
              <c:idx val="5"/>
              <c:layout>
                <c:manualLayout>
                  <c:x val="-2.1772808345397431E-3"/>
                  <c:y val="5.760151814016859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AF3-47D5-922C-E68CDF553E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Výpočty!$F$42:$F$54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Výpočty!$M$42:$M$54</c:f>
              <c:numCache>
                <c:formatCode>0.0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0.41152263374485598</c:v>
                </c:pt>
                <c:pt idx="6">
                  <c:v>1.3245033112582782</c:v>
                </c:pt>
                <c:pt idx="7">
                  <c:v>2.8735632183908044</c:v>
                </c:pt>
                <c:pt idx="8">
                  <c:v>3.4300791556728232</c:v>
                </c:pt>
                <c:pt idx="9">
                  <c:v>5.1282051282051277</c:v>
                </c:pt>
                <c:pt idx="10">
                  <c:v>5.2742616033755274</c:v>
                </c:pt>
                <c:pt idx="11">
                  <c:v>5.0682261208577</c:v>
                </c:pt>
                <c:pt idx="12">
                  <c:v>5.1625239005736141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AF3-47D5-922C-E68CDF553E00}"/>
            </c:ext>
          </c:extLst>
        </c:ser>
        <c:ser>
          <c:idx val="7"/>
          <c:order val="7"/>
          <c:tx>
            <c:strRef>
              <c:f>Výpočty!$N$41</c:f>
              <c:strCache>
                <c:ptCount val="1"/>
                <c:pt idx="0">
                  <c:v>OŘ Plzeň</c:v>
                </c:pt>
              </c:strCache>
            </c:strRef>
          </c:tx>
          <c:spPr>
            <a:solidFill>
              <a:srgbClr val="7E1F8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AF3-47D5-922C-E68CDF553E0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AF3-47D5-922C-E68CDF553E0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AF3-47D5-922C-E68CDF553E0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AF3-47D5-922C-E68CDF553E0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AF3-47D5-922C-E68CDF553E00}"/>
                </c:ext>
              </c:extLst>
            </c:dLbl>
            <c:dLbl>
              <c:idx val="5"/>
              <c:layout>
                <c:manualLayout>
                  <c:x val="-7.2576027817991442E-4"/>
                  <c:y val="-8.06421253962372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AF3-47D5-922C-E68CDF553E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Výpočty!$F$42:$F$54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Výpočty!$N$42:$N$54</c:f>
              <c:numCache>
                <c:formatCode>0.0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0.41152263374485598</c:v>
                </c:pt>
                <c:pt idx="6">
                  <c:v>0.99337748344370869</c:v>
                </c:pt>
                <c:pt idx="7">
                  <c:v>1.7241379310344827</c:v>
                </c:pt>
                <c:pt idx="8">
                  <c:v>2.1108179419525066</c:v>
                </c:pt>
                <c:pt idx="9">
                  <c:v>2.5641025641025639</c:v>
                </c:pt>
                <c:pt idx="10">
                  <c:v>3.1645569620253164</c:v>
                </c:pt>
                <c:pt idx="11">
                  <c:v>3.3138401559454191</c:v>
                </c:pt>
                <c:pt idx="12">
                  <c:v>3.2504780114722758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AF3-47D5-922C-E68CDF553E00}"/>
            </c:ext>
          </c:extLst>
        </c:ser>
        <c:ser>
          <c:idx val="8"/>
          <c:order val="8"/>
          <c:tx>
            <c:strRef>
              <c:f>Výpočty!$O$41</c:f>
              <c:strCache>
                <c:ptCount val="1"/>
                <c:pt idx="0">
                  <c:v>OŘ Praha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Výpočty!$F$42:$F$54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Výpočty!$O$42:$O$54</c:f>
              <c:numCache>
                <c:formatCode>0.0</c:formatCode>
                <c:ptCount val="13"/>
                <c:pt idx="0">
                  <c:v>66.071428571428569</c:v>
                </c:pt>
                <c:pt idx="1">
                  <c:v>54.421768707482997</c:v>
                </c:pt>
                <c:pt idx="2">
                  <c:v>55.128205128205131</c:v>
                </c:pt>
                <c:pt idx="3">
                  <c:v>55.214723926380373</c:v>
                </c:pt>
                <c:pt idx="4">
                  <c:v>31.578947368421051</c:v>
                </c:pt>
                <c:pt idx="5">
                  <c:v>26.748971193415638</c:v>
                </c:pt>
                <c:pt idx="6">
                  <c:v>29.139072847682119</c:v>
                </c:pt>
                <c:pt idx="7">
                  <c:v>28.448275862068968</c:v>
                </c:pt>
                <c:pt idx="8">
                  <c:v>27.70448548812665</c:v>
                </c:pt>
                <c:pt idx="9">
                  <c:v>25.641025641025639</c:v>
                </c:pt>
                <c:pt idx="10">
                  <c:v>24.050632911392405</c:v>
                </c:pt>
                <c:pt idx="11">
                  <c:v>23.586744639376217</c:v>
                </c:pt>
                <c:pt idx="12">
                  <c:v>24.091778202676863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AF3-47D5-922C-E68CDF553E00}"/>
            </c:ext>
          </c:extLst>
        </c:ser>
        <c:ser>
          <c:idx val="9"/>
          <c:order val="9"/>
          <c:tx>
            <c:strRef>
              <c:f>Výpočty!$P$41</c:f>
              <c:strCache>
                <c:ptCount val="1"/>
                <c:pt idx="0">
                  <c:v>OŘ Ústí n.L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Výpočty!$F$42:$F$54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Výpočty!$P$42:$P$54</c:f>
              <c:numCache>
                <c:formatCode>0.0</c:formatCode>
                <c:ptCount val="13"/>
                <c:pt idx="0">
                  <c:v>16.964285714285715</c:v>
                </c:pt>
                <c:pt idx="1">
                  <c:v>13.605442176870749</c:v>
                </c:pt>
                <c:pt idx="2">
                  <c:v>14.102564102564102</c:v>
                </c:pt>
                <c:pt idx="3">
                  <c:v>13.496932515337424</c:v>
                </c:pt>
                <c:pt idx="4">
                  <c:v>12.631578947368421</c:v>
                </c:pt>
                <c:pt idx="5">
                  <c:v>14.403292181069959</c:v>
                </c:pt>
                <c:pt idx="6">
                  <c:v>12.582781456953644</c:v>
                </c:pt>
                <c:pt idx="7">
                  <c:v>11.781609195402298</c:v>
                </c:pt>
                <c:pt idx="8">
                  <c:v>11.345646437994723</c:v>
                </c:pt>
                <c:pt idx="9">
                  <c:v>11.888111888111888</c:v>
                </c:pt>
                <c:pt idx="10">
                  <c:v>12.447257383966246</c:v>
                </c:pt>
                <c:pt idx="11">
                  <c:v>12.085769980506821</c:v>
                </c:pt>
                <c:pt idx="12">
                  <c:v>11.854684512428298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AF3-47D5-922C-E68CDF553E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47934927"/>
        <c:axId val="247935407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Výpočty!$G$41</c15:sqref>
                        </c15:formulaRef>
                      </c:ext>
                    </c:extLst>
                    <c:strCache>
                      <c:ptCount val="1"/>
                      <c:pt idx="0">
                        <c:v>Počet členů celkem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Výpočty!$F$42:$F$54</c15:sqref>
                        </c15:formulaRef>
                      </c:ext>
                    </c:extLst>
                    <c:strCache>
                      <c:ptCount val="13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  <c:pt idx="10">
                        <c:v>2023</c:v>
                      </c:pt>
                      <c:pt idx="11">
                        <c:v>2024</c:v>
                      </c:pt>
                      <c:pt idx="12">
                        <c:v>2025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Výpočty!$G$42:$G$54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112</c:v>
                      </c:pt>
                      <c:pt idx="1">
                        <c:v>147</c:v>
                      </c:pt>
                      <c:pt idx="2">
                        <c:v>156</c:v>
                      </c:pt>
                      <c:pt idx="3">
                        <c:v>163</c:v>
                      </c:pt>
                      <c:pt idx="4">
                        <c:v>190</c:v>
                      </c:pt>
                      <c:pt idx="5">
                        <c:v>243</c:v>
                      </c:pt>
                      <c:pt idx="6">
                        <c:v>302</c:v>
                      </c:pt>
                      <c:pt idx="7">
                        <c:v>348</c:v>
                      </c:pt>
                      <c:pt idx="8">
                        <c:v>379</c:v>
                      </c:pt>
                      <c:pt idx="9">
                        <c:v>429</c:v>
                      </c:pt>
                      <c:pt idx="10">
                        <c:v>474</c:v>
                      </c:pt>
                      <c:pt idx="11">
                        <c:v>513</c:v>
                      </c:pt>
                      <c:pt idx="12">
                        <c:v>523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6-CAF3-47D5-922C-E68CDF553E00}"/>
                  </c:ext>
                </c:extLst>
              </c15:ser>
            </c15:filteredBarSeries>
          </c:ext>
        </c:extLst>
      </c:bar3DChart>
      <c:catAx>
        <c:axId val="24793492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47935407"/>
        <c:crosses val="autoZero"/>
        <c:auto val="1"/>
        <c:lblAlgn val="ctr"/>
        <c:lblOffset val="100"/>
        <c:noMultiLvlLbl val="0"/>
      </c:catAx>
      <c:valAx>
        <c:axId val="247935407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479349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cs-CZ" sz="2800"/>
              <a:t>Počet členů dle OŘ k 1.2.2025</a:t>
            </a:r>
            <a:endParaRPr lang="en-US" sz="2800"/>
          </a:p>
        </c:rich>
      </c:tx>
      <c:layout>
        <c:manualLayout>
          <c:xMode val="edge"/>
          <c:yMode val="edge"/>
          <c:x val="0.30248027095335189"/>
          <c:y val="0.47005993564759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28463015449213"/>
          <c:y val="8.3128752313729112E-2"/>
          <c:w val="0.58719297275475313"/>
          <c:h val="0.86615998705266484"/>
        </c:manualLayout>
      </c:layout>
      <c:doughnutChart>
        <c:varyColors val="1"/>
        <c:ser>
          <c:idx val="12"/>
          <c:order val="0"/>
          <c:tx>
            <c:strRef>
              <c:f>Výpočty!$F$36</c:f>
              <c:strCache>
                <c:ptCount val="1"/>
                <c:pt idx="0">
                  <c:v>2025</c:v>
                </c:pt>
              </c:strCache>
            </c:strRef>
          </c:tx>
          <c:dPt>
            <c:idx val="0"/>
            <c:bubble3D val="0"/>
            <c:spPr>
              <a:solidFill>
                <a:srgbClr val="ED7D3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E6C-4F3F-AC27-2BA558DB0175}"/>
              </c:ext>
            </c:extLst>
          </c:dPt>
          <c:dPt>
            <c:idx val="1"/>
            <c:bubble3D val="0"/>
            <c:spPr>
              <a:solidFill>
                <a:srgbClr val="0000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E6C-4F3F-AC27-2BA558DB0175}"/>
              </c:ext>
            </c:extLst>
          </c:dPt>
          <c:dPt>
            <c:idx val="2"/>
            <c:bubble3D val="0"/>
            <c:spPr>
              <a:solidFill>
                <a:srgbClr val="F1DEDE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E6C-4F3F-AC27-2BA558DB0175}"/>
              </c:ext>
            </c:extLst>
          </c:dPt>
          <c:dPt>
            <c:idx val="3"/>
            <c:bubble3D val="0"/>
            <c:spPr>
              <a:solidFill>
                <a:srgbClr val="5B9BD5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E6C-4F3F-AC27-2BA558DB0175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E6C-4F3F-AC27-2BA558DB0175}"/>
              </c:ext>
            </c:extLst>
          </c:dPt>
          <c:dPt>
            <c:idx val="5"/>
            <c:bubble3D val="0"/>
            <c:spPr>
              <a:solidFill>
                <a:srgbClr val="33CCCC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E6C-4F3F-AC27-2BA558DB0175}"/>
              </c:ext>
            </c:extLst>
          </c:dPt>
          <c:dPt>
            <c:idx val="6"/>
            <c:bubble3D val="0"/>
            <c:spPr>
              <a:solidFill>
                <a:srgbClr val="7E1F8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E6C-4F3F-AC27-2BA558DB0175}"/>
              </c:ext>
            </c:extLst>
          </c:dPt>
          <c:dPt>
            <c:idx val="7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E6C-4F3F-AC27-2BA558DB0175}"/>
              </c:ext>
            </c:extLst>
          </c:dPt>
          <c:dPt>
            <c:idx val="8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E6C-4F3F-AC27-2BA558DB0175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5E6C-4F3F-AC27-2BA558DB0175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5E6C-4F3F-AC27-2BA558DB01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Výpočty!$G$23:$P$23</c15:sqref>
                  </c15:fullRef>
                </c:ext>
              </c:extLst>
              <c:f>Výpočty!$H$23:$P$23</c:f>
              <c:strCache>
                <c:ptCount val="9"/>
                <c:pt idx="0">
                  <c:v>CDP Praha</c:v>
                </c:pt>
                <c:pt idx="1">
                  <c:v>CDP Přerov</c:v>
                </c:pt>
                <c:pt idx="2">
                  <c:v>GŘ</c:v>
                </c:pt>
                <c:pt idx="3">
                  <c:v>OŘ Brno</c:v>
                </c:pt>
                <c:pt idx="4">
                  <c:v>OŘ Hr.Králové</c:v>
                </c:pt>
                <c:pt idx="5">
                  <c:v>OŘ Ostrava</c:v>
                </c:pt>
                <c:pt idx="6">
                  <c:v>OŘ Plzeň</c:v>
                </c:pt>
                <c:pt idx="7">
                  <c:v>OŘ Praha</c:v>
                </c:pt>
                <c:pt idx="8">
                  <c:v>OŘ Ústí n.L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Výpočty!$G$36:$P$36</c15:sqref>
                  </c15:fullRef>
                </c:ext>
              </c:extLst>
              <c:f>Výpočty!$H$36:$P$36</c:f>
              <c:numCache>
                <c:formatCode>General</c:formatCode>
                <c:ptCount val="9"/>
                <c:pt idx="0">
                  <c:v>100</c:v>
                </c:pt>
                <c:pt idx="1">
                  <c:v>12</c:v>
                </c:pt>
                <c:pt idx="2">
                  <c:v>11</c:v>
                </c:pt>
                <c:pt idx="3">
                  <c:v>93</c:v>
                </c:pt>
                <c:pt idx="4">
                  <c:v>75</c:v>
                </c:pt>
                <c:pt idx="5">
                  <c:v>27</c:v>
                </c:pt>
                <c:pt idx="6">
                  <c:v>17</c:v>
                </c:pt>
                <c:pt idx="7">
                  <c:v>126</c:v>
                </c:pt>
                <c:pt idx="8">
                  <c:v>62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2-5E6C-4F3F-AC27-2BA558DB0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cs-CZ">
                <a:solidFill>
                  <a:schemeClr val="bg1"/>
                </a:solidFill>
              </a:rPr>
              <a:t>Vývoj počtu členů</a:t>
            </a:r>
            <a:r>
              <a:rPr lang="cs-CZ" baseline="0">
                <a:solidFill>
                  <a:schemeClr val="bg1"/>
                </a:solidFill>
              </a:rPr>
              <a:t> ADP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Výpočty!$G$23</c:f>
              <c:strCache>
                <c:ptCount val="1"/>
                <c:pt idx="0">
                  <c:v>Počet členů celkem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rgbClr val="FFC000">
                  <a:alpha val="14000"/>
                </a:srgbClr>
              </a:glow>
            </a:effectLst>
          </c:spPr>
          <c:marker>
            <c:symbol val="none"/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5AB-4C62-B30E-C174926081BF}"/>
                </c:ext>
              </c:extLst>
            </c:dLbl>
            <c:dLbl>
              <c:idx val="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5AB-4C62-B30E-C174926081BF}"/>
                </c:ext>
              </c:extLst>
            </c:dLbl>
            <c:dLbl>
              <c:idx val="1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5AB-4C62-B30E-C174926081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Výpočty!$F$24:$F$36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Výpočty!$G$24:$G$36</c:f>
              <c:numCache>
                <c:formatCode>General</c:formatCode>
                <c:ptCount val="13"/>
                <c:pt idx="0">
                  <c:v>112</c:v>
                </c:pt>
                <c:pt idx="1">
                  <c:v>147</c:v>
                </c:pt>
                <c:pt idx="2">
                  <c:v>156</c:v>
                </c:pt>
                <c:pt idx="3">
                  <c:v>163</c:v>
                </c:pt>
                <c:pt idx="4">
                  <c:v>190</c:v>
                </c:pt>
                <c:pt idx="5">
                  <c:v>243</c:v>
                </c:pt>
                <c:pt idx="6">
                  <c:v>302</c:v>
                </c:pt>
                <c:pt idx="7">
                  <c:v>348</c:v>
                </c:pt>
                <c:pt idx="8">
                  <c:v>379</c:v>
                </c:pt>
                <c:pt idx="9">
                  <c:v>429</c:v>
                </c:pt>
                <c:pt idx="10">
                  <c:v>474</c:v>
                </c:pt>
                <c:pt idx="11">
                  <c:v>513</c:v>
                </c:pt>
                <c:pt idx="12">
                  <c:v>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AB-4C62-B30E-C17492608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671183"/>
        <c:axId val="2054675983"/>
      </c:lineChart>
      <c:catAx>
        <c:axId val="20546711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95000"/>
                <a:alpha val="1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54675983"/>
        <c:crosses val="autoZero"/>
        <c:auto val="1"/>
        <c:lblAlgn val="ctr"/>
        <c:lblOffset val="100"/>
        <c:noMultiLvlLbl val="0"/>
      </c:catAx>
      <c:valAx>
        <c:axId val="2054675983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54671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cs-CZ">
                <a:solidFill>
                  <a:schemeClr val="bg1"/>
                </a:solidFill>
              </a:rPr>
              <a:t>Počet členů dle OŘ</a:t>
            </a:r>
            <a:endParaRPr lang="en-US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4224254943698284"/>
          <c:y val="3.06911161111188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9409721101593839E-2"/>
          <c:y val="0.10774096384779261"/>
          <c:w val="0.80317798991215494"/>
          <c:h val="0.84804394025260521"/>
        </c:manualLayout>
      </c:layout>
      <c:bar3DChart>
        <c:barDir val="col"/>
        <c:grouping val="stacked"/>
        <c:varyColors val="0"/>
        <c:ser>
          <c:idx val="1"/>
          <c:order val="1"/>
          <c:tx>
            <c:strRef>
              <c:f>Výpočty!$H$23</c:f>
              <c:strCache>
                <c:ptCount val="1"/>
                <c:pt idx="0">
                  <c:v>CDP Praha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Výpočty!$F$24:$F$36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Výpočty!$H$24:$H$36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</c:v>
                </c:pt>
                <c:pt idx="5">
                  <c:v>54</c:v>
                </c:pt>
                <c:pt idx="6">
                  <c:v>62</c:v>
                </c:pt>
                <c:pt idx="7">
                  <c:v>67</c:v>
                </c:pt>
                <c:pt idx="8">
                  <c:v>75</c:v>
                </c:pt>
                <c:pt idx="9">
                  <c:v>82</c:v>
                </c:pt>
                <c:pt idx="10">
                  <c:v>89</c:v>
                </c:pt>
                <c:pt idx="11">
                  <c:v>98</c:v>
                </c:pt>
                <c:pt idx="1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A-481D-A736-FD03F397D200}"/>
            </c:ext>
          </c:extLst>
        </c:ser>
        <c:ser>
          <c:idx val="2"/>
          <c:order val="2"/>
          <c:tx>
            <c:strRef>
              <c:f>Výpočty!$I$23</c:f>
              <c:strCache>
                <c:ptCount val="1"/>
                <c:pt idx="0">
                  <c:v>CDP Přerov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03A-481D-A736-FD03F397D200}"/>
                </c:ext>
              </c:extLst>
            </c:dLbl>
            <c:dLbl>
              <c:idx val="1"/>
              <c:layout>
                <c:manualLayout>
                  <c:x val="0"/>
                  <c:y val="3.813139739261307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03A-481D-A736-FD03F397D200}"/>
                </c:ext>
              </c:extLst>
            </c:dLbl>
            <c:dLbl>
              <c:idx val="2"/>
              <c:layout>
                <c:manualLayout>
                  <c:x val="-2.4212001379930479E-17"/>
                  <c:y val="2.542093159507538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03A-481D-A736-FD03F397D200}"/>
                </c:ext>
              </c:extLst>
            </c:dLbl>
            <c:dLbl>
              <c:idx val="3"/>
              <c:layout>
                <c:manualLayout>
                  <c:x val="0"/>
                  <c:y val="5.08418631901489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03A-481D-A736-FD03F397D200}"/>
                </c:ext>
              </c:extLst>
            </c:dLbl>
            <c:dLbl>
              <c:idx val="4"/>
              <c:layout>
                <c:manualLayout>
                  <c:x val="0"/>
                  <c:y val="2.542093159507538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03A-481D-A736-FD03F397D2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Výpočty!$F$24:$F$36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Výpočty!$I$24:$I$36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3A-481D-A736-FD03F397D200}"/>
            </c:ext>
          </c:extLst>
        </c:ser>
        <c:ser>
          <c:idx val="3"/>
          <c:order val="3"/>
          <c:tx>
            <c:strRef>
              <c:f>Výpočty!$J$23</c:f>
              <c:strCache>
                <c:ptCount val="1"/>
                <c:pt idx="0">
                  <c:v>GŘ</c:v>
                </c:pt>
              </c:strCache>
            </c:strRef>
          </c:tx>
          <c:spPr>
            <a:solidFill>
              <a:srgbClr val="F1DEDE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layout>
                <c:manualLayout>
                  <c:x val="0"/>
                  <c:y val="5.084186319015076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03A-481D-A736-FD03F397D2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Výpočty!$F$24:$F$36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Výpočty!$J$24:$J$36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03A-481D-A736-FD03F397D200}"/>
            </c:ext>
          </c:extLst>
        </c:ser>
        <c:ser>
          <c:idx val="4"/>
          <c:order val="4"/>
          <c:tx>
            <c:strRef>
              <c:f>Výpočty!$K$23</c:f>
              <c:strCache>
                <c:ptCount val="1"/>
                <c:pt idx="0">
                  <c:v>OŘ Brno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Výpočty!$F$24:$F$36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Výpočty!$K$24:$K$36</c:f>
              <c:numCache>
                <c:formatCode>General</c:formatCode>
                <c:ptCount val="13"/>
                <c:pt idx="0">
                  <c:v>1</c:v>
                </c:pt>
                <c:pt idx="1">
                  <c:v>26</c:v>
                </c:pt>
                <c:pt idx="2">
                  <c:v>27</c:v>
                </c:pt>
                <c:pt idx="3">
                  <c:v>29</c:v>
                </c:pt>
                <c:pt idx="4">
                  <c:v>34</c:v>
                </c:pt>
                <c:pt idx="5">
                  <c:v>52</c:v>
                </c:pt>
                <c:pt idx="6">
                  <c:v>64</c:v>
                </c:pt>
                <c:pt idx="7">
                  <c:v>70</c:v>
                </c:pt>
                <c:pt idx="8">
                  <c:v>72</c:v>
                </c:pt>
                <c:pt idx="9">
                  <c:v>80</c:v>
                </c:pt>
                <c:pt idx="10">
                  <c:v>85</c:v>
                </c:pt>
                <c:pt idx="11">
                  <c:v>93</c:v>
                </c:pt>
                <c:pt idx="12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03A-481D-A736-FD03F397D200}"/>
            </c:ext>
          </c:extLst>
        </c:ser>
        <c:ser>
          <c:idx val="5"/>
          <c:order val="5"/>
          <c:tx>
            <c:strRef>
              <c:f>Výpočty!$L$23</c:f>
              <c:strCache>
                <c:ptCount val="1"/>
                <c:pt idx="0">
                  <c:v>OŘ Hr.Králové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Výpočty!$F$24:$F$36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Výpočty!$L$24:$L$36</c:f>
              <c:numCache>
                <c:formatCode>General</c:formatCode>
                <c:ptCount val="13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24</c:v>
                </c:pt>
                <c:pt idx="6">
                  <c:v>30</c:v>
                </c:pt>
                <c:pt idx="7">
                  <c:v>40</c:v>
                </c:pt>
                <c:pt idx="8">
                  <c:v>44</c:v>
                </c:pt>
                <c:pt idx="9">
                  <c:v>52</c:v>
                </c:pt>
                <c:pt idx="10">
                  <c:v>65</c:v>
                </c:pt>
                <c:pt idx="11">
                  <c:v>73</c:v>
                </c:pt>
                <c:pt idx="12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03A-481D-A736-FD03F397D200}"/>
            </c:ext>
          </c:extLst>
        </c:ser>
        <c:ser>
          <c:idx val="6"/>
          <c:order val="6"/>
          <c:tx>
            <c:strRef>
              <c:f>Výpočty!$M$23</c:f>
              <c:strCache>
                <c:ptCount val="1"/>
                <c:pt idx="0">
                  <c:v>OŘ Ostrava</c:v>
                </c:pt>
              </c:strCache>
            </c:strRef>
          </c:tx>
          <c:spPr>
            <a:solidFill>
              <a:srgbClr val="33CCCC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03A-481D-A736-FD03F397D20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03A-481D-A736-FD03F397D20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03A-481D-A736-FD03F397D20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03A-481D-A736-FD03F397D20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03A-481D-A736-FD03F397D200}"/>
                </c:ext>
              </c:extLst>
            </c:dLbl>
            <c:dLbl>
              <c:idx val="5"/>
              <c:layout>
                <c:manualLayout>
                  <c:x val="-6.6033493851917757E-4"/>
                  <c:y val="2.542093159507445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03A-481D-A736-FD03F397D2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Výpočty!$F$24:$F$36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Výpočty!$M$24:$M$36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10</c:v>
                </c:pt>
                <c:pt idx="8">
                  <c:v>13</c:v>
                </c:pt>
                <c:pt idx="9">
                  <c:v>22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03A-481D-A736-FD03F397D200}"/>
            </c:ext>
          </c:extLst>
        </c:ser>
        <c:ser>
          <c:idx val="7"/>
          <c:order val="7"/>
          <c:tx>
            <c:strRef>
              <c:f>Výpočty!$N$23</c:f>
              <c:strCache>
                <c:ptCount val="1"/>
                <c:pt idx="0">
                  <c:v>OŘ Plzeň</c:v>
                </c:pt>
              </c:strCache>
            </c:strRef>
          </c:tx>
          <c:spPr>
            <a:solidFill>
              <a:srgbClr val="7E1F8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03A-481D-A736-FD03F397D20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03A-481D-A736-FD03F397D20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03A-481D-A736-FD03F397D20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03A-481D-A736-FD03F397D20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03A-481D-A736-FD03F397D200}"/>
                </c:ext>
              </c:extLst>
            </c:dLbl>
            <c:dLbl>
              <c:idx val="5"/>
              <c:layout>
                <c:manualLayout>
                  <c:x val="6.6033493851917757E-4"/>
                  <c:y val="-1.01683726380301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03A-481D-A736-FD03F397D2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Výpočty!$F$24:$F$36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Výpočty!$N$24:$N$36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6</c:v>
                </c:pt>
                <c:pt idx="8">
                  <c:v>8</c:v>
                </c:pt>
                <c:pt idx="9">
                  <c:v>11</c:v>
                </c:pt>
                <c:pt idx="10">
                  <c:v>15</c:v>
                </c:pt>
                <c:pt idx="11">
                  <c:v>17</c:v>
                </c:pt>
                <c:pt idx="1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03A-481D-A736-FD03F397D200}"/>
            </c:ext>
          </c:extLst>
        </c:ser>
        <c:ser>
          <c:idx val="8"/>
          <c:order val="8"/>
          <c:tx>
            <c:strRef>
              <c:f>Výpočty!$O$23</c:f>
              <c:strCache>
                <c:ptCount val="1"/>
                <c:pt idx="0">
                  <c:v>OŘ Praha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Výpočty!$F$24:$F$36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Výpočty!$O$24:$O$36</c:f>
              <c:numCache>
                <c:formatCode>General</c:formatCode>
                <c:ptCount val="13"/>
                <c:pt idx="0">
                  <c:v>74</c:v>
                </c:pt>
                <c:pt idx="1">
                  <c:v>80</c:v>
                </c:pt>
                <c:pt idx="2">
                  <c:v>86</c:v>
                </c:pt>
                <c:pt idx="3">
                  <c:v>90</c:v>
                </c:pt>
                <c:pt idx="4">
                  <c:v>60</c:v>
                </c:pt>
                <c:pt idx="5">
                  <c:v>65</c:v>
                </c:pt>
                <c:pt idx="6">
                  <c:v>88</c:v>
                </c:pt>
                <c:pt idx="7">
                  <c:v>99</c:v>
                </c:pt>
                <c:pt idx="8">
                  <c:v>105</c:v>
                </c:pt>
                <c:pt idx="9">
                  <c:v>110</c:v>
                </c:pt>
                <c:pt idx="10">
                  <c:v>114</c:v>
                </c:pt>
                <c:pt idx="11">
                  <c:v>121</c:v>
                </c:pt>
                <c:pt idx="12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03A-481D-A736-FD03F397D200}"/>
            </c:ext>
          </c:extLst>
        </c:ser>
        <c:ser>
          <c:idx val="9"/>
          <c:order val="9"/>
          <c:tx>
            <c:strRef>
              <c:f>Výpočty!$P$23</c:f>
              <c:strCache>
                <c:ptCount val="1"/>
                <c:pt idx="0">
                  <c:v>OŘ Ústí n.L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Výpočty!$F$24:$F$36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Výpočty!$P$24:$P$36</c:f>
              <c:numCache>
                <c:formatCode>General</c:formatCode>
                <c:ptCount val="13"/>
                <c:pt idx="0">
                  <c:v>19</c:v>
                </c:pt>
                <c:pt idx="1">
                  <c:v>20</c:v>
                </c:pt>
                <c:pt idx="2">
                  <c:v>22</c:v>
                </c:pt>
                <c:pt idx="3">
                  <c:v>22</c:v>
                </c:pt>
                <c:pt idx="4">
                  <c:v>24</c:v>
                </c:pt>
                <c:pt idx="5">
                  <c:v>35</c:v>
                </c:pt>
                <c:pt idx="6">
                  <c:v>38</c:v>
                </c:pt>
                <c:pt idx="7">
                  <c:v>41</c:v>
                </c:pt>
                <c:pt idx="8">
                  <c:v>43</c:v>
                </c:pt>
                <c:pt idx="9">
                  <c:v>51</c:v>
                </c:pt>
                <c:pt idx="10">
                  <c:v>59</c:v>
                </c:pt>
                <c:pt idx="11">
                  <c:v>62</c:v>
                </c:pt>
                <c:pt idx="12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03A-481D-A736-FD03F397D2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69272015"/>
        <c:axId val="1369271055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Výpočty!$G$23</c15:sqref>
                        </c15:formulaRef>
                      </c:ext>
                    </c:extLst>
                    <c:strCache>
                      <c:ptCount val="1"/>
                      <c:pt idx="0">
                        <c:v>Počet členů celkem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cs-CZ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Výpočty!$F$24:$F$36</c15:sqref>
                        </c15:formulaRef>
                      </c:ext>
                    </c:extLst>
                    <c:strCache>
                      <c:ptCount val="13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  <c:pt idx="10">
                        <c:v>2023</c:v>
                      </c:pt>
                      <c:pt idx="11">
                        <c:v>2024</c:v>
                      </c:pt>
                      <c:pt idx="12">
                        <c:v>2025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Výpočty!$G$24:$G$36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112</c:v>
                      </c:pt>
                      <c:pt idx="1">
                        <c:v>147</c:v>
                      </c:pt>
                      <c:pt idx="2">
                        <c:v>156</c:v>
                      </c:pt>
                      <c:pt idx="3">
                        <c:v>163</c:v>
                      </c:pt>
                      <c:pt idx="4">
                        <c:v>190</c:v>
                      </c:pt>
                      <c:pt idx="5">
                        <c:v>243</c:v>
                      </c:pt>
                      <c:pt idx="6">
                        <c:v>302</c:v>
                      </c:pt>
                      <c:pt idx="7">
                        <c:v>348</c:v>
                      </c:pt>
                      <c:pt idx="8">
                        <c:v>379</c:v>
                      </c:pt>
                      <c:pt idx="9">
                        <c:v>429</c:v>
                      </c:pt>
                      <c:pt idx="10">
                        <c:v>474</c:v>
                      </c:pt>
                      <c:pt idx="11">
                        <c:v>513</c:v>
                      </c:pt>
                      <c:pt idx="12">
                        <c:v>523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B-303A-481D-A736-FD03F397D200}"/>
                  </c:ext>
                </c:extLst>
              </c15:ser>
            </c15:filteredBarSeries>
          </c:ext>
        </c:extLst>
      </c:bar3DChart>
      <c:catAx>
        <c:axId val="136927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69271055"/>
        <c:crosses val="autoZero"/>
        <c:auto val="1"/>
        <c:lblAlgn val="ctr"/>
        <c:lblOffset val="100"/>
        <c:noMultiLvlLbl val="0"/>
      </c:catAx>
      <c:valAx>
        <c:axId val="1369271055"/>
        <c:scaling>
          <c:orientation val="minMax"/>
          <c:max val="53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69272015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legendEntry>
        <c:idx val="8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</c:legendEntry>
      <c:layout>
        <c:manualLayout>
          <c:xMode val="edge"/>
          <c:yMode val="edge"/>
          <c:x val="0.87095961862215454"/>
          <c:y val="0.38897480283005104"/>
          <c:w val="0.10311975025429893"/>
          <c:h val="0.384579231168955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[ADP_data.xlsx]Výpočty!Kontingenční tabulka1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b="1"/>
              <a:t>Počet příchozích členů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828414290293597E-2"/>
          <c:y val="0.21576905525861001"/>
          <c:w val="0.74720884041939695"/>
          <c:h val="0.62787700524189516"/>
        </c:manualLayout>
      </c:layout>
      <c:lineChart>
        <c:grouping val="standard"/>
        <c:varyColors val="0"/>
        <c:ser>
          <c:idx val="0"/>
          <c:order val="0"/>
          <c:tx>
            <c:strRef>
              <c:f>Výpočty!$C$3</c:f>
              <c:strCache>
                <c:ptCount val="1"/>
                <c:pt idx="0">
                  <c:v>Celkem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Výpočty!$B$4:$B$17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Výpočty!$C$4:$C$17</c:f>
              <c:numCache>
                <c:formatCode>General</c:formatCode>
                <c:ptCount val="13"/>
                <c:pt idx="0">
                  <c:v>112</c:v>
                </c:pt>
                <c:pt idx="1">
                  <c:v>35</c:v>
                </c:pt>
                <c:pt idx="2">
                  <c:v>9</c:v>
                </c:pt>
                <c:pt idx="3">
                  <c:v>7</c:v>
                </c:pt>
                <c:pt idx="4">
                  <c:v>69</c:v>
                </c:pt>
                <c:pt idx="5">
                  <c:v>53</c:v>
                </c:pt>
                <c:pt idx="6">
                  <c:v>59</c:v>
                </c:pt>
                <c:pt idx="7">
                  <c:v>46</c:v>
                </c:pt>
                <c:pt idx="8">
                  <c:v>31</c:v>
                </c:pt>
                <c:pt idx="9">
                  <c:v>50</c:v>
                </c:pt>
                <c:pt idx="10">
                  <c:v>45</c:v>
                </c:pt>
                <c:pt idx="11">
                  <c:v>39</c:v>
                </c:pt>
                <c:pt idx="1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B9-479A-92D9-A9DCED3616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0915071"/>
        <c:axId val="1180915551"/>
      </c:lineChart>
      <c:catAx>
        <c:axId val="118091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80915551"/>
        <c:crosses val="autoZero"/>
        <c:auto val="1"/>
        <c:lblAlgn val="ctr"/>
        <c:lblOffset val="100"/>
        <c:noMultiLvlLbl val="0"/>
      </c:catAx>
      <c:valAx>
        <c:axId val="118091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8091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556193</xdr:colOff>
      <xdr:row>24</xdr:row>
      <xdr:rowOff>52388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7E5822B-C88D-41CD-A484-572732EB8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19</xdr:col>
      <xdr:colOff>18710</xdr:colOff>
      <xdr:row>57</xdr:row>
      <xdr:rowOff>79603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DAF6B935-2B74-4B1E-A354-1D839B107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17</xdr:col>
      <xdr:colOff>195316</xdr:colOff>
      <xdr:row>97</xdr:row>
      <xdr:rowOff>83928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0BCA7878-95FA-4A44-A9AB-C76AE735D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99</xdr:row>
      <xdr:rowOff>0</xdr:rowOff>
    </xdr:from>
    <xdr:to>
      <xdr:col>22</xdr:col>
      <xdr:colOff>273732</xdr:colOff>
      <xdr:row>140</xdr:row>
      <xdr:rowOff>1816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68D368E6-B685-4D28-AF3E-A371ABC4A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143</xdr:row>
      <xdr:rowOff>0</xdr:rowOff>
    </xdr:from>
    <xdr:to>
      <xdr:col>22</xdr:col>
      <xdr:colOff>381000</xdr:colOff>
      <xdr:row>190</xdr:row>
      <xdr:rowOff>136071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8282C7AB-D13D-40E3-83CC-DF76CF8BA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193</xdr:row>
      <xdr:rowOff>108857</xdr:rowOff>
    </xdr:from>
    <xdr:to>
      <xdr:col>21</xdr:col>
      <xdr:colOff>322036</xdr:colOff>
      <xdr:row>238</xdr:row>
      <xdr:rowOff>19956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9F50A1C6-F26D-4D35-8BE6-F48E29C0E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54429</xdr:colOff>
      <xdr:row>240</xdr:row>
      <xdr:rowOff>54428</xdr:rowOff>
    </xdr:from>
    <xdr:to>
      <xdr:col>18</xdr:col>
      <xdr:colOff>571500</xdr:colOff>
      <xdr:row>269</xdr:row>
      <xdr:rowOff>122464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4ADF83C5-DD6E-479A-BC3E-D926439F3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272</xdr:row>
      <xdr:rowOff>0</xdr:rowOff>
    </xdr:from>
    <xdr:to>
      <xdr:col>21</xdr:col>
      <xdr:colOff>88445</xdr:colOff>
      <xdr:row>312</xdr:row>
      <xdr:rowOff>108858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9B4428C3-C9D4-4736-A450-D1D7DCA82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45611</xdr:colOff>
      <xdr:row>20</xdr:row>
      <xdr:rowOff>52388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2EAD8DE6-1F8F-4438-8C06-6658CCE72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14</xdr:col>
      <xdr:colOff>368309</xdr:colOff>
      <xdr:row>53</xdr:row>
      <xdr:rowOff>79603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5963A327-9173-4AFB-A379-304CF5387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</xdr:colOff>
      <xdr:row>55</xdr:row>
      <xdr:rowOff>9525</xdr:rowOff>
    </xdr:from>
    <xdr:to>
      <xdr:col>13</xdr:col>
      <xdr:colOff>377338</xdr:colOff>
      <xdr:row>93</xdr:row>
      <xdr:rowOff>93453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21B79201-BAF3-40D7-9606-9E75C5FE7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</xdr:colOff>
      <xdr:row>95</xdr:row>
      <xdr:rowOff>0</xdr:rowOff>
    </xdr:from>
    <xdr:to>
      <xdr:col>17</xdr:col>
      <xdr:colOff>514350</xdr:colOff>
      <xdr:row>129</xdr:row>
      <xdr:rowOff>95250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C8D3A5B4-1DB3-414B-96B0-487C8AB29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</xdr:colOff>
      <xdr:row>131</xdr:row>
      <xdr:rowOff>28575</xdr:rowOff>
    </xdr:from>
    <xdr:to>
      <xdr:col>18</xdr:col>
      <xdr:colOff>600075</xdr:colOff>
      <xdr:row>179</xdr:row>
      <xdr:rowOff>19050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DCF2E8E3-9966-4090-927F-D9DAAC519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</xdr:colOff>
      <xdr:row>181</xdr:row>
      <xdr:rowOff>0</xdr:rowOff>
    </xdr:from>
    <xdr:to>
      <xdr:col>19</xdr:col>
      <xdr:colOff>190501</xdr:colOff>
      <xdr:row>226</xdr:row>
      <xdr:rowOff>133350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AD042712-24ED-423C-8F2A-C02DFE7E0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228</xdr:row>
      <xdr:rowOff>1</xdr:rowOff>
    </xdr:from>
    <xdr:to>
      <xdr:col>16</xdr:col>
      <xdr:colOff>28575</xdr:colOff>
      <xdr:row>265</xdr:row>
      <xdr:rowOff>95251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A040769D-F136-4717-88BE-6ACFE8D7C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267</xdr:row>
      <xdr:rowOff>0</xdr:rowOff>
    </xdr:from>
    <xdr:to>
      <xdr:col>12</xdr:col>
      <xdr:colOff>567419</xdr:colOff>
      <xdr:row>286</xdr:row>
      <xdr:rowOff>92529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6D53EECA-E659-41E7-825D-A8300FA45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ronika Hasenöhrlová" refreshedDate="45710.93156261574" createdVersion="8" refreshedVersion="8" minRefreshableVersion="3" recordCount="565" xr:uid="{B8534D14-49C5-4F68-A13F-97EE3D9CD3AB}">
  <cacheSource type="worksheet">
    <worksheetSource name="Tabulka1"/>
  </cacheSource>
  <cacheFields count="7">
    <cacheField name="ID" numFmtId="0">
      <sharedItems containsSemiMixedTypes="0" containsString="0" containsNumber="1" containsInteger="1" minValue="1" maxValue="565"/>
    </cacheField>
    <cacheField name="OŘ" numFmtId="49">
      <sharedItems count="10">
        <s v="OŘ Praha"/>
        <s v="OŘ Hr.Králové"/>
        <s v="CDP Přerov"/>
        <s v="OŘ Brno"/>
        <s v="CDP Praha"/>
        <s v="OŘ Plzeň"/>
        <s v="OŘ Ústí n.L"/>
        <s v="OŘ Ostrava"/>
        <s v="GŘ"/>
        <s v="GŘ " u="1"/>
      </sharedItems>
    </cacheField>
    <cacheField name="v ADP" numFmtId="164">
      <sharedItems containsSemiMixedTypes="0" containsNonDate="0" containsDate="1" containsString="0" minDate="2013-03-15T00:00:00" maxDate="2025-02-02T00:00:00" count="133">
        <d v="2013-10-01T00:00:00"/>
        <d v="2022-11-01T00:00:00"/>
        <d v="2013-06-15T00:00:00"/>
        <d v="2014-05-01T00:00:00"/>
        <d v="2018-12-01T00:00:00"/>
        <d v="2018-11-01T00:00:00"/>
        <d v="2019-01-01T00:00:00"/>
        <d v="2013-04-01T00:00:00"/>
        <d v="2019-03-01T00:00:00"/>
        <d v="2021-09-01T00:00:00"/>
        <d v="2023-03-01T00:00:00"/>
        <d v="2022-12-01T00:00:00"/>
        <d v="2023-11-01T00:00:00"/>
        <d v="2014-03-19T00:00:00"/>
        <d v="2017-09-01T00:00:00"/>
        <d v="2020-04-01T00:00:00"/>
        <d v="2023-08-01T00:00:00"/>
        <d v="2014-02-01T00:00:00"/>
        <d v="2020-05-01T00:00:00"/>
        <d v="2015-07-01T00:00:00"/>
        <d v="2019-11-01T00:00:00"/>
        <d v="2018-10-01T00:00:00"/>
        <d v="2022-10-01T00:00:00"/>
        <d v="2016-01-10T00:00:00"/>
        <d v="2021-04-01T00:00:00"/>
        <d v="2023-12-01T00:00:00"/>
        <d v="2019-10-01T00:00:00"/>
        <d v="2020-01-01T00:00:00"/>
        <d v="2021-11-01T00:00:00"/>
        <d v="2022-03-26T00:00:00"/>
        <d v="2022-09-01T00:00:00"/>
        <d v="2015-02-01T00:00:00"/>
        <d v="2017-11-01T00:00:00"/>
        <d v="2020-02-01T00:00:00"/>
        <d v="2023-06-26T00:00:00"/>
        <d v="2024-10-01T00:00:00"/>
        <d v="2015-03-01T00:00:00"/>
        <d v="2020-11-01T00:00:00"/>
        <d v="2019-02-01T00:00:00"/>
        <d v="2018-02-01T00:00:00"/>
        <d v="2024-01-01T00:00:00"/>
        <d v="2023-05-01T00:00:00"/>
        <d v="2017-06-01T00:00:00"/>
        <d v="2016-01-01T00:00:00"/>
        <d v="2024-03-01T00:00:00"/>
        <d v="2018-04-01T00:00:00"/>
        <d v="2019-07-01T00:00:00"/>
        <d v="2023-07-01T00:00:00"/>
        <d v="2019-04-01T00:00:00"/>
        <d v="2022-06-01T00:00:00"/>
        <d v="2022-04-01T00:00:00"/>
        <d v="2014-08-01T00:00:00"/>
        <d v="2022-05-15T00:00:00"/>
        <d v="2013-06-01T00:00:00"/>
        <d v="2014-01-01T00:00:00"/>
        <d v="2013-03-15T00:00:00"/>
        <d v="2013-05-01T00:00:00"/>
        <d v="2024-11-01T00:00:00"/>
        <d v="2017-02-01T00:00:00"/>
        <d v="2023-01-01T00:00:00"/>
        <d v="2020-09-01T00:00:00"/>
        <d v="2024-02-01T00:00:00"/>
        <d v="2013-08-01T00:00:00"/>
        <d v="2017-10-01T00:00:00"/>
        <d v="2014-03-14T00:00:00"/>
        <d v="2017-04-01T00:00:00"/>
        <d v="2021-12-01T00:00:00"/>
        <d v="2021-01-01T00:00:00"/>
        <d v="2022-05-01T00:00:00"/>
        <d v="2018-01-01T00:00:00"/>
        <d v="2018-07-01T00:00:00"/>
        <d v="2024-12-01T00:00:00"/>
        <d v="2020-12-01T00:00:00"/>
        <d v="2019-09-01T00:00:00"/>
        <d v="2024-09-01T00:00:00"/>
        <d v="2014-04-01T00:00:00"/>
        <d v="2016-05-01T00:00:00"/>
        <d v="2022-08-01T00:00:00"/>
        <d v="2020-08-01T00:00:00"/>
        <d v="2022-01-01T00:00:00"/>
        <d v="2023-10-01T00:00:00"/>
        <d v="2016-02-01T00:00:00"/>
        <d v="2021-07-01T00:00:00"/>
        <d v="2017-03-31T00:00:00"/>
        <d v="2023-04-01T00:00:00"/>
        <d v="2014-03-25T00:00:00"/>
        <d v="2013-09-01T00:00:00"/>
        <d v="2019-12-01T00:00:00"/>
        <d v="2021-02-01T00:00:00"/>
        <d v="2022-02-01T00:00:00"/>
        <d v="2023-09-01T00:00:00"/>
        <d v="2018-11-15T00:00:00"/>
        <d v="2022-03-01T00:00:00"/>
        <d v="2025-01-01T00:00:00"/>
        <d v="2017-12-01T00:00:00"/>
        <d v="2021-03-01T00:00:00"/>
        <d v="2020-10-01T00:00:00"/>
        <d v="2020-03-01T00:00:00"/>
        <d v="2018-03-01T00:00:00"/>
        <d v="2024-05-01T00:00:00"/>
        <d v="2014-03-11T00:00:00"/>
        <d v="2014-03-20T00:00:00"/>
        <d v="2023-02-01T00:00:00"/>
        <d v="2013-12-01T00:00:00"/>
        <d v="2017-05-01T00:00:00"/>
        <d v="2018-06-01T00:00:00"/>
        <d v="2015-01-01T00:00:00"/>
        <d v="2016-10-01T00:00:00"/>
        <d v="2018-09-01T00:00:00"/>
        <d v="2024-10-29T00:00:00"/>
        <d v="2013-07-01T00:00:00"/>
        <d v="2015-09-01T00:00:00"/>
        <d v="2022-04-18T00:00:00"/>
        <d v="2014-05-14T00:00:00"/>
        <d v="2024-04-01T00:00:00"/>
        <d v="2013-11-01T00:00:00"/>
        <d v="2024-08-01T00:00:00"/>
        <d v="2020-06-01T00:00:00"/>
        <d v="2015-06-01T00:00:00"/>
        <d v="2024-07-01T00:00:00"/>
        <d v="2014-12-01T00:00:00"/>
        <d v="2024-11-20T00:00:00"/>
        <d v="2023-02-03T00:00:00"/>
        <d v="2016-06-01T00:00:00"/>
        <d v="2021-08-01T00:00:00"/>
        <d v="2020-07-01T00:00:00"/>
        <d v="2015-12-01T00:00:00"/>
        <d v="2015-07-15T00:00:00"/>
        <d v="2023-10-11T00:00:00"/>
        <d v="2015-03-26T00:00:00"/>
        <d v="2019-06-01T00:00:00"/>
        <d v="2025-02-01T00:00:00"/>
        <d v="2017-04-27T00:00:00"/>
      </sharedItems>
      <fieldGroup par="6"/>
    </cacheField>
    <cacheField name="funkce" numFmtId="0">
      <sharedItems containsBlank="1"/>
    </cacheField>
    <cacheField name="Měsíce (v ADP)" numFmtId="0" databaseField="0">
      <fieldGroup base="2">
        <rangePr groupBy="months" startDate="2013-03-15T00:00:00" endDate="2025-02-02T00:00:00"/>
        <groupItems count="14">
          <s v="&lt;15/03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02/2025"/>
        </groupItems>
      </fieldGroup>
    </cacheField>
    <cacheField name="Čtvrtletí (v ADP)" numFmtId="0" databaseField="0">
      <fieldGroup base="2">
        <rangePr groupBy="quarters" startDate="2013-03-15T00:00:00" endDate="2025-02-02T00:00:00"/>
        <groupItems count="6">
          <s v="&lt;15/03/2013"/>
          <s v="Čtv1"/>
          <s v="Čtv2"/>
          <s v="Čtv3"/>
          <s v="Čtv4"/>
          <s v="&gt;02/02/2025"/>
        </groupItems>
      </fieldGroup>
    </cacheField>
    <cacheField name="Roky (v ADP)" numFmtId="0" databaseField="0">
      <fieldGroup base="2">
        <rangePr groupBy="years" startDate="2013-03-15T00:00:00" endDate="2025-02-02T00:00:00"/>
        <groupItems count="15">
          <s v="&lt;15/03/2013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2025"/>
          <s v="&gt;02/02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5">
  <r>
    <n v="1"/>
    <x v="0"/>
    <x v="0"/>
    <s v="prov.dispečer"/>
  </r>
  <r>
    <n v="2"/>
    <x v="1"/>
    <x v="1"/>
    <s v="výpravčí"/>
  </r>
  <r>
    <n v="3"/>
    <x v="1"/>
    <x v="1"/>
    <s v="výpravčí"/>
  </r>
  <r>
    <n v="4"/>
    <x v="0"/>
    <x v="2"/>
    <s v="prov.dispečer"/>
  </r>
  <r>
    <n v="5"/>
    <x v="2"/>
    <x v="3"/>
    <s v="prov.dispečer"/>
  </r>
  <r>
    <n v="6"/>
    <x v="0"/>
    <x v="4"/>
    <s v="výpravčí"/>
  </r>
  <r>
    <n v="7"/>
    <x v="3"/>
    <x v="5"/>
    <s v="výpravčí"/>
  </r>
  <r>
    <n v="8"/>
    <x v="3"/>
    <x v="6"/>
    <s v="výpravčí"/>
  </r>
  <r>
    <n v="9"/>
    <x v="0"/>
    <x v="7"/>
    <s v="výpravčí"/>
  </r>
  <r>
    <n v="10"/>
    <x v="0"/>
    <x v="8"/>
    <s v="výpravčí"/>
  </r>
  <r>
    <n v="11"/>
    <x v="4"/>
    <x v="9"/>
    <s v="operátorka"/>
  </r>
  <r>
    <n v="12"/>
    <x v="4"/>
    <x v="10"/>
    <s v="operátorka"/>
  </r>
  <r>
    <n v="13"/>
    <x v="0"/>
    <x v="7"/>
    <s v="výpravčí"/>
  </r>
  <r>
    <n v="14"/>
    <x v="1"/>
    <x v="11"/>
    <s v="signalista"/>
  </r>
  <r>
    <n v="15"/>
    <x v="5"/>
    <x v="12"/>
    <s v="signalista"/>
  </r>
  <r>
    <n v="16"/>
    <x v="3"/>
    <x v="13"/>
    <s v="signalista"/>
  </r>
  <r>
    <n v="17"/>
    <x v="4"/>
    <x v="14"/>
    <s v="trať.dispečer"/>
  </r>
  <r>
    <n v="18"/>
    <x v="4"/>
    <x v="5"/>
    <s v="výpravčí"/>
  </r>
  <r>
    <n v="19"/>
    <x v="1"/>
    <x v="15"/>
    <m/>
  </r>
  <r>
    <n v="20"/>
    <x v="1"/>
    <x v="16"/>
    <s v="stan.dozorce"/>
  </r>
  <r>
    <n v="21"/>
    <x v="1"/>
    <x v="17"/>
    <s v="operátorka"/>
  </r>
  <r>
    <n v="22"/>
    <x v="1"/>
    <x v="18"/>
    <s v="operátorka"/>
  </r>
  <r>
    <n v="23"/>
    <x v="3"/>
    <x v="6"/>
    <s v="výpravčí"/>
  </r>
  <r>
    <n v="24"/>
    <x v="1"/>
    <x v="7"/>
    <s v="výpravčí"/>
  </r>
  <r>
    <n v="25"/>
    <x v="0"/>
    <x v="19"/>
    <m/>
  </r>
  <r>
    <n v="26"/>
    <x v="0"/>
    <x v="7"/>
    <s v="operátorka"/>
  </r>
  <r>
    <n v="27"/>
    <x v="1"/>
    <x v="20"/>
    <s v="signalista"/>
  </r>
  <r>
    <n v="28"/>
    <x v="0"/>
    <x v="7"/>
    <s v="výpravčí"/>
  </r>
  <r>
    <n v="29"/>
    <x v="5"/>
    <x v="21"/>
    <m/>
  </r>
  <r>
    <n v="30"/>
    <x v="5"/>
    <x v="22"/>
    <s v="systém.spec."/>
  </r>
  <r>
    <n v="31"/>
    <x v="0"/>
    <x v="23"/>
    <m/>
  </r>
  <r>
    <n v="32"/>
    <x v="0"/>
    <x v="24"/>
    <m/>
  </r>
  <r>
    <n v="33"/>
    <x v="3"/>
    <x v="12"/>
    <s v="výpravčí"/>
  </r>
  <r>
    <n v="34"/>
    <x v="6"/>
    <x v="25"/>
    <s v="výpravčí"/>
  </r>
  <r>
    <n v="35"/>
    <x v="0"/>
    <x v="7"/>
    <s v="trať.dispečer"/>
  </r>
  <r>
    <n v="36"/>
    <x v="3"/>
    <x v="26"/>
    <s v="signalista"/>
  </r>
  <r>
    <n v="37"/>
    <x v="5"/>
    <x v="27"/>
    <s v="výpravčí"/>
  </r>
  <r>
    <n v="38"/>
    <x v="0"/>
    <x v="7"/>
    <m/>
  </r>
  <r>
    <n v="39"/>
    <x v="4"/>
    <x v="8"/>
    <m/>
  </r>
  <r>
    <n v="40"/>
    <x v="4"/>
    <x v="28"/>
    <m/>
  </r>
  <r>
    <n v="41"/>
    <x v="7"/>
    <x v="29"/>
    <s v="výpravčí"/>
  </r>
  <r>
    <n v="42"/>
    <x v="6"/>
    <x v="30"/>
    <s v="operátorka"/>
  </r>
  <r>
    <n v="43"/>
    <x v="6"/>
    <x v="31"/>
    <s v="výpravčí"/>
  </r>
  <r>
    <n v="44"/>
    <x v="0"/>
    <x v="7"/>
    <s v="výpravčí"/>
  </r>
  <r>
    <n v="45"/>
    <x v="6"/>
    <x v="32"/>
    <s v="výpravčí"/>
  </r>
  <r>
    <n v="46"/>
    <x v="1"/>
    <x v="33"/>
    <s v="výpravčí"/>
  </r>
  <r>
    <n v="47"/>
    <x v="1"/>
    <x v="24"/>
    <s v="signalista"/>
  </r>
  <r>
    <n v="48"/>
    <x v="6"/>
    <x v="34"/>
    <s v="výpravčí"/>
  </r>
  <r>
    <n v="49"/>
    <x v="6"/>
    <x v="35"/>
    <s v="výpravčí"/>
  </r>
  <r>
    <n v="50"/>
    <x v="0"/>
    <x v="36"/>
    <s v="trať.dispečer"/>
  </r>
  <r>
    <n v="51"/>
    <x v="7"/>
    <x v="37"/>
    <s v="signalista"/>
  </r>
  <r>
    <n v="52"/>
    <x v="3"/>
    <x v="38"/>
    <s v="výpravčí"/>
  </r>
  <r>
    <n v="53"/>
    <x v="0"/>
    <x v="37"/>
    <s v="výpravčí"/>
  </r>
  <r>
    <n v="54"/>
    <x v="3"/>
    <x v="39"/>
    <s v="výpravčí"/>
  </r>
  <r>
    <n v="55"/>
    <x v="3"/>
    <x v="40"/>
    <s v="výpravčí"/>
  </r>
  <r>
    <n v="56"/>
    <x v="1"/>
    <x v="41"/>
    <s v="stan.dozorce"/>
  </r>
  <r>
    <n v="57"/>
    <x v="4"/>
    <x v="6"/>
    <m/>
  </r>
  <r>
    <n v="58"/>
    <x v="3"/>
    <x v="40"/>
    <s v="signalista"/>
  </r>
  <r>
    <n v="59"/>
    <x v="0"/>
    <x v="42"/>
    <s v="dozorčí"/>
  </r>
  <r>
    <n v="60"/>
    <x v="3"/>
    <x v="43"/>
    <s v="výpravčí"/>
  </r>
  <r>
    <n v="61"/>
    <x v="0"/>
    <x v="44"/>
    <s v="signalista"/>
  </r>
  <r>
    <n v="62"/>
    <x v="3"/>
    <x v="45"/>
    <s v="výpravčí"/>
  </r>
  <r>
    <n v="63"/>
    <x v="6"/>
    <x v="4"/>
    <s v="výpravčí"/>
  </r>
  <r>
    <n v="64"/>
    <x v="1"/>
    <x v="17"/>
    <s v="signalista"/>
  </r>
  <r>
    <n v="65"/>
    <x v="0"/>
    <x v="12"/>
    <s v="výpravčí"/>
  </r>
  <r>
    <n v="66"/>
    <x v="1"/>
    <x v="40"/>
    <m/>
  </r>
  <r>
    <n v="67"/>
    <x v="0"/>
    <x v="38"/>
    <s v="výpravčí"/>
  </r>
  <r>
    <n v="68"/>
    <x v="1"/>
    <x v="46"/>
    <s v="signalista"/>
  </r>
  <r>
    <n v="69"/>
    <x v="0"/>
    <x v="24"/>
    <s v="ZKK"/>
  </r>
  <r>
    <n v="70"/>
    <x v="6"/>
    <x v="47"/>
    <s v="signalista"/>
  </r>
  <r>
    <n v="71"/>
    <x v="4"/>
    <x v="9"/>
    <s v="operátorka"/>
  </r>
  <r>
    <n v="72"/>
    <x v="1"/>
    <x v="7"/>
    <s v="výpravčí"/>
  </r>
  <r>
    <n v="73"/>
    <x v="3"/>
    <x v="48"/>
    <s v="výpravčí"/>
  </r>
  <r>
    <n v="74"/>
    <x v="0"/>
    <x v="7"/>
    <s v="výpravčí"/>
  </r>
  <r>
    <n v="75"/>
    <x v="3"/>
    <x v="49"/>
    <s v="stan.dozorce"/>
  </r>
  <r>
    <n v="76"/>
    <x v="1"/>
    <x v="50"/>
    <s v="stan.dozorce"/>
  </r>
  <r>
    <n v="77"/>
    <x v="1"/>
    <x v="7"/>
    <s v="výpravčí"/>
  </r>
  <r>
    <n v="78"/>
    <x v="3"/>
    <x v="51"/>
    <s v="výpravčí"/>
  </r>
  <r>
    <n v="79"/>
    <x v="7"/>
    <x v="52"/>
    <s v="výpravčí"/>
  </r>
  <r>
    <n v="80"/>
    <x v="0"/>
    <x v="5"/>
    <s v="výpravčí"/>
  </r>
  <r>
    <n v="81"/>
    <x v="0"/>
    <x v="7"/>
    <s v="výpravčí"/>
  </r>
  <r>
    <n v="82"/>
    <x v="1"/>
    <x v="25"/>
    <s v="výpravčí"/>
  </r>
  <r>
    <n v="83"/>
    <x v="1"/>
    <x v="4"/>
    <s v="výpravčí"/>
  </r>
  <r>
    <n v="84"/>
    <x v="0"/>
    <x v="53"/>
    <s v="výpravčí"/>
  </r>
  <r>
    <n v="85"/>
    <x v="0"/>
    <x v="54"/>
    <s v="výpravčí"/>
  </r>
  <r>
    <n v="86"/>
    <x v="1"/>
    <x v="41"/>
    <s v="signalista"/>
  </r>
  <r>
    <n v="87"/>
    <x v="0"/>
    <x v="55"/>
    <s v="prov.dispečer"/>
  </r>
  <r>
    <n v="88"/>
    <x v="8"/>
    <x v="7"/>
    <m/>
  </r>
  <r>
    <n v="89"/>
    <x v="4"/>
    <x v="14"/>
    <s v="trať.dispečer"/>
  </r>
  <r>
    <n v="90"/>
    <x v="0"/>
    <x v="56"/>
    <s v="signalista"/>
  </r>
  <r>
    <n v="91"/>
    <x v="1"/>
    <x v="11"/>
    <s v="výpravčí"/>
  </r>
  <r>
    <n v="92"/>
    <x v="4"/>
    <x v="57"/>
    <s v="trať.dispečer"/>
  </r>
  <r>
    <n v="93"/>
    <x v="2"/>
    <x v="4"/>
    <s v="výpravčí"/>
  </r>
  <r>
    <n v="94"/>
    <x v="0"/>
    <x v="55"/>
    <s v="výpravčí"/>
  </r>
  <r>
    <n v="95"/>
    <x v="0"/>
    <x v="58"/>
    <s v="výpravčí"/>
  </r>
  <r>
    <n v="96"/>
    <x v="7"/>
    <x v="59"/>
    <s v="výpravčí"/>
  </r>
  <r>
    <n v="97"/>
    <x v="0"/>
    <x v="55"/>
    <s v="výpravčí "/>
  </r>
  <r>
    <n v="98"/>
    <x v="2"/>
    <x v="60"/>
    <s v="trať.dispečer"/>
  </r>
  <r>
    <n v="99"/>
    <x v="6"/>
    <x v="7"/>
    <s v="výpravčí"/>
  </r>
  <r>
    <n v="100"/>
    <x v="6"/>
    <x v="61"/>
    <s v="výpravčí"/>
  </r>
  <r>
    <n v="101"/>
    <x v="6"/>
    <x v="62"/>
    <s v="dozorce výh."/>
  </r>
  <r>
    <n v="102"/>
    <x v="3"/>
    <x v="49"/>
    <s v="výpravčí"/>
  </r>
  <r>
    <n v="103"/>
    <x v="3"/>
    <x v="43"/>
    <s v="signalista"/>
  </r>
  <r>
    <n v="104"/>
    <x v="3"/>
    <x v="27"/>
    <s v="dozorčí prov."/>
  </r>
  <r>
    <n v="105"/>
    <x v="1"/>
    <x v="16"/>
    <s v="výpravčí"/>
  </r>
  <r>
    <n v="106"/>
    <x v="3"/>
    <x v="21"/>
    <s v="výpravčí"/>
  </r>
  <r>
    <n v="107"/>
    <x v="0"/>
    <x v="55"/>
    <s v="trať.dispečer"/>
  </r>
  <r>
    <n v="108"/>
    <x v="1"/>
    <x v="5"/>
    <s v="výpravčí"/>
  </r>
  <r>
    <n v="109"/>
    <x v="1"/>
    <x v="7"/>
    <s v="výpravčí"/>
  </r>
  <r>
    <n v="110"/>
    <x v="0"/>
    <x v="63"/>
    <s v="výpravčí"/>
  </r>
  <r>
    <n v="111"/>
    <x v="1"/>
    <x v="7"/>
    <s v="výpravčí"/>
  </r>
  <r>
    <n v="112"/>
    <x v="0"/>
    <x v="30"/>
    <s v="výpravčí"/>
  </r>
  <r>
    <n v="113"/>
    <x v="3"/>
    <x v="64"/>
    <s v="dozorčí prov."/>
  </r>
  <r>
    <n v="114"/>
    <x v="3"/>
    <x v="65"/>
    <s v="výpravčí"/>
  </r>
  <r>
    <n v="115"/>
    <x v="1"/>
    <x v="66"/>
    <s v="dirig. Disp."/>
  </r>
  <r>
    <n v="116"/>
    <x v="6"/>
    <x v="16"/>
    <m/>
  </r>
  <r>
    <n v="117"/>
    <x v="1"/>
    <x v="4"/>
    <s v="výpravčí"/>
  </r>
  <r>
    <n v="118"/>
    <x v="6"/>
    <x v="67"/>
    <s v="výpravčí"/>
  </r>
  <r>
    <n v="119"/>
    <x v="1"/>
    <x v="57"/>
    <s v="signalista"/>
  </r>
  <r>
    <n v="120"/>
    <x v="7"/>
    <x v="68"/>
    <s v="výpravčí"/>
  </r>
  <r>
    <n v="121"/>
    <x v="0"/>
    <x v="6"/>
    <s v="výpravčí"/>
  </r>
  <r>
    <n v="122"/>
    <x v="0"/>
    <x v="69"/>
    <s v="výpravčí"/>
  </r>
  <r>
    <n v="123"/>
    <x v="6"/>
    <x v="6"/>
    <s v="výpravčí"/>
  </r>
  <r>
    <n v="124"/>
    <x v="0"/>
    <x v="7"/>
    <s v="operátorka"/>
  </r>
  <r>
    <n v="125"/>
    <x v="1"/>
    <x v="7"/>
    <s v="výpravčí"/>
  </r>
  <r>
    <n v="126"/>
    <x v="0"/>
    <x v="38"/>
    <s v="výpravčí"/>
  </r>
  <r>
    <n v="127"/>
    <x v="2"/>
    <x v="70"/>
    <s v="dispečer"/>
  </r>
  <r>
    <n v="128"/>
    <x v="0"/>
    <x v="7"/>
    <m/>
  </r>
  <r>
    <n v="129"/>
    <x v="3"/>
    <x v="71"/>
    <s v="dozorce výh."/>
  </r>
  <r>
    <n v="130"/>
    <x v="4"/>
    <x v="22"/>
    <s v="operátor"/>
  </r>
  <r>
    <n v="131"/>
    <x v="4"/>
    <x v="22"/>
    <s v="trať.dispečer"/>
  </r>
  <r>
    <n v="132"/>
    <x v="0"/>
    <x v="72"/>
    <s v="výpravčí"/>
  </r>
  <r>
    <n v="133"/>
    <x v="6"/>
    <x v="27"/>
    <s v="výpravčí"/>
  </r>
  <r>
    <n v="134"/>
    <x v="6"/>
    <x v="37"/>
    <s v="stan.dozorce"/>
  </r>
  <r>
    <n v="135"/>
    <x v="6"/>
    <x v="7"/>
    <s v="výpravčí"/>
  </r>
  <r>
    <n v="136"/>
    <x v="1"/>
    <x v="73"/>
    <s v="výpravčí"/>
  </r>
  <r>
    <n v="137"/>
    <x v="3"/>
    <x v="74"/>
    <s v="výpravčí"/>
  </r>
  <r>
    <n v="138"/>
    <x v="6"/>
    <x v="4"/>
    <s v="výpravčí"/>
  </r>
  <r>
    <n v="139"/>
    <x v="4"/>
    <x v="69"/>
    <s v="trať.dispečer"/>
  </r>
  <r>
    <n v="140"/>
    <x v="0"/>
    <x v="7"/>
    <s v="výpravčí"/>
  </r>
  <r>
    <n v="141"/>
    <x v="6"/>
    <x v="35"/>
    <s v="výpravčí"/>
  </r>
  <r>
    <n v="142"/>
    <x v="1"/>
    <x v="44"/>
    <s v="výpravčí"/>
  </r>
  <r>
    <n v="143"/>
    <x v="5"/>
    <x v="60"/>
    <s v="výpravčí"/>
  </r>
  <r>
    <n v="144"/>
    <x v="3"/>
    <x v="41"/>
    <s v="signalista"/>
  </r>
  <r>
    <n v="145"/>
    <x v="0"/>
    <x v="75"/>
    <s v="operátorka"/>
  </r>
  <r>
    <n v="146"/>
    <x v="0"/>
    <x v="38"/>
    <s v="výpravčí"/>
  </r>
  <r>
    <n v="147"/>
    <x v="0"/>
    <x v="76"/>
    <s v="operátorka"/>
  </r>
  <r>
    <n v="148"/>
    <x v="6"/>
    <x v="22"/>
    <s v="výpravčí"/>
  </r>
  <r>
    <n v="149"/>
    <x v="4"/>
    <x v="77"/>
    <s v="dispečer"/>
  </r>
  <r>
    <n v="150"/>
    <x v="1"/>
    <x v="78"/>
    <s v="výpravčí"/>
  </r>
  <r>
    <n v="151"/>
    <x v="0"/>
    <x v="50"/>
    <s v="operátorka"/>
  </r>
  <r>
    <n v="152"/>
    <x v="4"/>
    <x v="79"/>
    <s v="prov.dispečer"/>
  </r>
  <r>
    <n v="153"/>
    <x v="1"/>
    <x v="80"/>
    <s v="signalista"/>
  </r>
  <r>
    <n v="154"/>
    <x v="3"/>
    <x v="17"/>
    <s v="výpravčí"/>
  </r>
  <r>
    <n v="155"/>
    <x v="0"/>
    <x v="7"/>
    <s v="výpravčí"/>
  </r>
  <r>
    <n v="156"/>
    <x v="4"/>
    <x v="40"/>
    <s v="trať.dispečer"/>
  </r>
  <r>
    <n v="157"/>
    <x v="0"/>
    <x v="67"/>
    <s v="stan.dozorce"/>
  </r>
  <r>
    <n v="158"/>
    <x v="3"/>
    <x v="17"/>
    <s v="výpravčí"/>
  </r>
  <r>
    <n v="159"/>
    <x v="3"/>
    <x v="17"/>
    <s v="výpravčí"/>
  </r>
  <r>
    <n v="160"/>
    <x v="0"/>
    <x v="7"/>
    <s v="výpravčí"/>
  </r>
  <r>
    <n v="161"/>
    <x v="4"/>
    <x v="77"/>
    <m/>
  </r>
  <r>
    <n v="162"/>
    <x v="0"/>
    <x v="7"/>
    <s v="trať.dispečer"/>
  </r>
  <r>
    <n v="163"/>
    <x v="3"/>
    <x v="17"/>
    <s v="výpravčí"/>
  </r>
  <r>
    <n v="164"/>
    <x v="0"/>
    <x v="7"/>
    <s v="výpravčí"/>
  </r>
  <r>
    <n v="165"/>
    <x v="3"/>
    <x v="38"/>
    <s v="operátorka"/>
  </r>
  <r>
    <n v="166"/>
    <x v="0"/>
    <x v="7"/>
    <s v="výpravčí"/>
  </r>
  <r>
    <n v="167"/>
    <x v="0"/>
    <x v="7"/>
    <s v="operátorka"/>
  </r>
  <r>
    <n v="168"/>
    <x v="0"/>
    <x v="55"/>
    <s v="výpravčí"/>
  </r>
  <r>
    <n v="169"/>
    <x v="0"/>
    <x v="7"/>
    <s v="výpravčí"/>
  </r>
  <r>
    <n v="170"/>
    <x v="1"/>
    <x v="48"/>
    <s v="výpravčí"/>
  </r>
  <r>
    <n v="171"/>
    <x v="3"/>
    <x v="75"/>
    <s v="signalista"/>
  </r>
  <r>
    <n v="172"/>
    <x v="1"/>
    <x v="10"/>
    <s v="výpravčí"/>
  </r>
  <r>
    <n v="173"/>
    <x v="7"/>
    <x v="6"/>
    <s v="výpravčí"/>
  </r>
  <r>
    <n v="174"/>
    <x v="0"/>
    <x v="56"/>
    <s v="výpravčí"/>
  </r>
  <r>
    <n v="175"/>
    <x v="0"/>
    <x v="49"/>
    <s v="operátor"/>
  </r>
  <r>
    <n v="176"/>
    <x v="1"/>
    <x v="56"/>
    <s v="výpravčí"/>
  </r>
  <r>
    <n v="177"/>
    <x v="2"/>
    <x v="60"/>
    <s v="trať.dispečer"/>
  </r>
  <r>
    <n v="178"/>
    <x v="6"/>
    <x v="62"/>
    <s v="výpravčí"/>
  </r>
  <r>
    <n v="179"/>
    <x v="6"/>
    <x v="62"/>
    <s v="výpravčí"/>
  </r>
  <r>
    <n v="180"/>
    <x v="0"/>
    <x v="7"/>
    <s v="výpravčí"/>
  </r>
  <r>
    <n v="181"/>
    <x v="0"/>
    <x v="61"/>
    <s v="signalista"/>
  </r>
  <r>
    <n v="182"/>
    <x v="3"/>
    <x v="75"/>
    <s v="operátorka"/>
  </r>
  <r>
    <n v="183"/>
    <x v="2"/>
    <x v="9"/>
    <s v="trať.dispečer"/>
  </r>
  <r>
    <n v="184"/>
    <x v="0"/>
    <x v="81"/>
    <m/>
  </r>
  <r>
    <n v="185"/>
    <x v="5"/>
    <x v="82"/>
    <m/>
  </r>
  <r>
    <n v="186"/>
    <x v="3"/>
    <x v="5"/>
    <s v="výpravčí"/>
  </r>
  <r>
    <n v="187"/>
    <x v="0"/>
    <x v="8"/>
    <s v="operátor"/>
  </r>
  <r>
    <n v="188"/>
    <x v="3"/>
    <x v="17"/>
    <s v="výpravčí"/>
  </r>
  <r>
    <n v="189"/>
    <x v="0"/>
    <x v="8"/>
    <s v="signalista"/>
  </r>
  <r>
    <n v="190"/>
    <x v="1"/>
    <x v="4"/>
    <s v="signalista"/>
  </r>
  <r>
    <n v="191"/>
    <x v="0"/>
    <x v="72"/>
    <s v="výpravčí"/>
  </r>
  <r>
    <n v="192"/>
    <x v="3"/>
    <x v="83"/>
    <s v="výpravčí"/>
  </r>
  <r>
    <n v="193"/>
    <x v="0"/>
    <x v="84"/>
    <s v="vypravčí"/>
  </r>
  <r>
    <n v="194"/>
    <x v="0"/>
    <x v="7"/>
    <m/>
  </r>
  <r>
    <n v="195"/>
    <x v="0"/>
    <x v="7"/>
    <s v="výpravčí"/>
  </r>
  <r>
    <n v="196"/>
    <x v="1"/>
    <x v="1"/>
    <s v="výpravčí"/>
  </r>
  <r>
    <n v="197"/>
    <x v="3"/>
    <x v="85"/>
    <s v="výpravčí"/>
  </r>
  <r>
    <n v="198"/>
    <x v="4"/>
    <x v="45"/>
    <s v="prov.dispečer"/>
  </r>
  <r>
    <n v="199"/>
    <x v="0"/>
    <x v="7"/>
    <m/>
  </r>
  <r>
    <n v="200"/>
    <x v="3"/>
    <x v="75"/>
    <s v="výpravčí"/>
  </r>
  <r>
    <n v="201"/>
    <x v="1"/>
    <x v="86"/>
    <s v="výpravčí"/>
  </r>
  <r>
    <n v="202"/>
    <x v="4"/>
    <x v="60"/>
    <s v="operátor"/>
  </r>
  <r>
    <n v="203"/>
    <x v="3"/>
    <x v="64"/>
    <s v="výpravčí"/>
  </r>
  <r>
    <n v="204"/>
    <x v="6"/>
    <x v="4"/>
    <s v="výpravčí"/>
  </r>
  <r>
    <n v="205"/>
    <x v="7"/>
    <x v="87"/>
    <s v="dozorce výh."/>
  </r>
  <r>
    <n v="206"/>
    <x v="1"/>
    <x v="16"/>
    <s v="signalista"/>
  </r>
  <r>
    <n v="207"/>
    <x v="0"/>
    <x v="27"/>
    <s v="výpravčí"/>
  </r>
  <r>
    <n v="208"/>
    <x v="0"/>
    <x v="27"/>
    <s v="výpravčí"/>
  </r>
  <r>
    <n v="209"/>
    <x v="5"/>
    <x v="60"/>
    <s v="výpravčí"/>
  </r>
  <r>
    <n v="210"/>
    <x v="8"/>
    <x v="7"/>
    <s v="výpravčí"/>
  </r>
  <r>
    <n v="211"/>
    <x v="0"/>
    <x v="73"/>
    <s v="výpravčí"/>
  </r>
  <r>
    <n v="212"/>
    <x v="1"/>
    <x v="27"/>
    <s v="výpravčí"/>
  </r>
  <r>
    <n v="213"/>
    <x v="5"/>
    <x v="25"/>
    <s v="signalista"/>
  </r>
  <r>
    <n v="214"/>
    <x v="6"/>
    <x v="53"/>
    <s v="výpravčí"/>
  </r>
  <r>
    <n v="215"/>
    <x v="3"/>
    <x v="66"/>
    <s v="výpravčí"/>
  </r>
  <r>
    <n v="216"/>
    <x v="6"/>
    <x v="54"/>
    <s v="výpravčí"/>
  </r>
  <r>
    <n v="217"/>
    <x v="4"/>
    <x v="88"/>
    <s v="prov.dispečer"/>
  </r>
  <r>
    <n v="218"/>
    <x v="5"/>
    <x v="47"/>
    <s v="signalista"/>
  </r>
  <r>
    <n v="219"/>
    <x v="4"/>
    <x v="89"/>
    <s v="trať.dispečer"/>
  </r>
  <r>
    <n v="220"/>
    <x v="4"/>
    <x v="90"/>
    <s v="trať.dispečer"/>
  </r>
  <r>
    <n v="221"/>
    <x v="6"/>
    <x v="91"/>
    <m/>
  </r>
  <r>
    <n v="222"/>
    <x v="4"/>
    <x v="90"/>
    <s v="trať.dispečer"/>
  </r>
  <r>
    <n v="223"/>
    <x v="0"/>
    <x v="79"/>
    <s v="výpravčí"/>
  </r>
  <r>
    <n v="224"/>
    <x v="2"/>
    <x v="88"/>
    <s v="trať.dispečer"/>
  </r>
  <r>
    <n v="225"/>
    <x v="7"/>
    <x v="25"/>
    <s v="výpravčí"/>
  </r>
  <r>
    <n v="226"/>
    <x v="0"/>
    <x v="40"/>
    <s v="výpravčí"/>
  </r>
  <r>
    <n v="227"/>
    <x v="0"/>
    <x v="14"/>
    <s v="výpravčí"/>
  </r>
  <r>
    <n v="228"/>
    <x v="1"/>
    <x v="41"/>
    <s v="dozorce výh."/>
  </r>
  <r>
    <n v="229"/>
    <x v="3"/>
    <x v="92"/>
    <s v="signalista"/>
  </r>
  <r>
    <n v="230"/>
    <x v="0"/>
    <x v="54"/>
    <m/>
  </r>
  <r>
    <n v="231"/>
    <x v="0"/>
    <x v="38"/>
    <s v="výpravčí"/>
  </r>
  <r>
    <n v="232"/>
    <x v="4"/>
    <x v="93"/>
    <s v="uklizečka"/>
  </r>
  <r>
    <n v="233"/>
    <x v="3"/>
    <x v="20"/>
    <s v="výpravčí"/>
  </r>
  <r>
    <n v="234"/>
    <x v="1"/>
    <x v="1"/>
    <s v="výpravčí"/>
  </r>
  <r>
    <n v="235"/>
    <x v="6"/>
    <x v="7"/>
    <s v="výpravčí"/>
  </r>
  <r>
    <n v="236"/>
    <x v="8"/>
    <x v="82"/>
    <s v="prov.dispečer"/>
  </r>
  <r>
    <n v="237"/>
    <x v="0"/>
    <x v="94"/>
    <s v="výpravčí"/>
  </r>
  <r>
    <n v="238"/>
    <x v="3"/>
    <x v="69"/>
    <s v="výpravčí"/>
  </r>
  <r>
    <n v="239"/>
    <x v="3"/>
    <x v="71"/>
    <s v="signalista"/>
  </r>
  <r>
    <n v="240"/>
    <x v="2"/>
    <x v="79"/>
    <s v="trať.dispečer"/>
  </r>
  <r>
    <n v="241"/>
    <x v="0"/>
    <x v="38"/>
    <s v="výpravčí"/>
  </r>
  <r>
    <n v="242"/>
    <x v="0"/>
    <x v="24"/>
    <s v="výpravčí"/>
  </r>
  <r>
    <n v="243"/>
    <x v="7"/>
    <x v="95"/>
    <s v="operátor"/>
  </r>
  <r>
    <n v="244"/>
    <x v="0"/>
    <x v="26"/>
    <s v="výpravčí"/>
  </r>
  <r>
    <n v="245"/>
    <x v="1"/>
    <x v="96"/>
    <s v="výpravčí"/>
  </r>
  <r>
    <n v="246"/>
    <x v="6"/>
    <x v="90"/>
    <s v="systém.spec."/>
  </r>
  <r>
    <n v="247"/>
    <x v="3"/>
    <x v="27"/>
    <s v="výpravčí"/>
  </r>
  <r>
    <n v="248"/>
    <x v="8"/>
    <x v="55"/>
    <m/>
  </r>
  <r>
    <n v="249"/>
    <x v="0"/>
    <x v="7"/>
    <s v="výpravčí"/>
  </r>
  <r>
    <n v="250"/>
    <x v="0"/>
    <x v="7"/>
    <m/>
  </r>
  <r>
    <n v="251"/>
    <x v="0"/>
    <x v="7"/>
    <s v="prov.dispečer"/>
  </r>
  <r>
    <n v="252"/>
    <x v="0"/>
    <x v="7"/>
    <s v="výpravčí"/>
  </r>
  <r>
    <n v="253"/>
    <x v="5"/>
    <x v="67"/>
    <s v="doz.provozu"/>
  </r>
  <r>
    <n v="254"/>
    <x v="6"/>
    <x v="7"/>
    <s v="výpravčí"/>
  </r>
  <r>
    <n v="255"/>
    <x v="1"/>
    <x v="5"/>
    <s v="výpravčí"/>
  </r>
  <r>
    <n v="256"/>
    <x v="6"/>
    <x v="94"/>
    <s v="výpravčí"/>
  </r>
  <r>
    <n v="257"/>
    <x v="6"/>
    <x v="79"/>
    <s v="výpravčí"/>
  </r>
  <r>
    <n v="258"/>
    <x v="0"/>
    <x v="97"/>
    <s v="výpravčí"/>
  </r>
  <r>
    <n v="259"/>
    <x v="3"/>
    <x v="41"/>
    <s v="výpravčí"/>
  </r>
  <r>
    <n v="260"/>
    <x v="6"/>
    <x v="4"/>
    <s v="výpravčí"/>
  </r>
  <r>
    <n v="261"/>
    <x v="0"/>
    <x v="14"/>
    <s v="výpravčí"/>
  </r>
  <r>
    <n v="262"/>
    <x v="0"/>
    <x v="14"/>
    <s v="operátorka"/>
  </r>
  <r>
    <n v="263"/>
    <x v="0"/>
    <x v="58"/>
    <s v="operátorka"/>
  </r>
  <r>
    <n v="264"/>
    <x v="7"/>
    <x v="15"/>
    <s v="výpravčí"/>
  </r>
  <r>
    <n v="265"/>
    <x v="0"/>
    <x v="94"/>
    <s v="výpravčí"/>
  </r>
  <r>
    <n v="266"/>
    <x v="4"/>
    <x v="73"/>
    <s v="operátorka"/>
  </r>
  <r>
    <n v="267"/>
    <x v="8"/>
    <x v="25"/>
    <s v="systém.spec."/>
  </r>
  <r>
    <n v="268"/>
    <x v="6"/>
    <x v="4"/>
    <s v="výpravčí"/>
  </r>
  <r>
    <n v="269"/>
    <x v="0"/>
    <x v="73"/>
    <s v="výpravčí"/>
  </r>
  <r>
    <n v="270"/>
    <x v="3"/>
    <x v="39"/>
    <s v="výpravčí"/>
  </r>
  <r>
    <n v="271"/>
    <x v="3"/>
    <x v="98"/>
    <s v="prac.údržby"/>
  </r>
  <r>
    <n v="272"/>
    <x v="0"/>
    <x v="7"/>
    <s v="operátorka"/>
  </r>
  <r>
    <n v="273"/>
    <x v="4"/>
    <x v="95"/>
    <s v="hlídač"/>
  </r>
  <r>
    <n v="274"/>
    <x v="6"/>
    <x v="39"/>
    <s v="dozorce výh."/>
  </r>
  <r>
    <n v="275"/>
    <x v="3"/>
    <x v="21"/>
    <s v="stan.dozorce"/>
  </r>
  <r>
    <n v="276"/>
    <x v="0"/>
    <x v="20"/>
    <s v="signalista"/>
  </r>
  <r>
    <n v="277"/>
    <x v="0"/>
    <x v="7"/>
    <s v="signalista"/>
  </r>
  <r>
    <n v="278"/>
    <x v="1"/>
    <x v="99"/>
    <s v="výpravčí"/>
  </r>
  <r>
    <n v="279"/>
    <x v="0"/>
    <x v="51"/>
    <m/>
  </r>
  <r>
    <n v="280"/>
    <x v="2"/>
    <x v="88"/>
    <s v="trať.dispečer"/>
  </r>
  <r>
    <n v="281"/>
    <x v="5"/>
    <x v="71"/>
    <s v="signalista"/>
  </r>
  <r>
    <n v="282"/>
    <x v="4"/>
    <x v="40"/>
    <s v="trať.dispečer"/>
  </r>
  <r>
    <n v="283"/>
    <x v="0"/>
    <x v="79"/>
    <s v="výpravčí"/>
  </r>
  <r>
    <n v="284"/>
    <x v="3"/>
    <x v="51"/>
    <s v="výpravčí"/>
  </r>
  <r>
    <n v="285"/>
    <x v="2"/>
    <x v="48"/>
    <m/>
  </r>
  <r>
    <n v="286"/>
    <x v="0"/>
    <x v="54"/>
    <s v="výpravčí"/>
  </r>
  <r>
    <n v="287"/>
    <x v="7"/>
    <x v="95"/>
    <s v="směn.dozorčí"/>
  </r>
  <r>
    <n v="288"/>
    <x v="0"/>
    <x v="38"/>
    <s v="výpravčí"/>
  </r>
  <r>
    <n v="289"/>
    <x v="1"/>
    <x v="27"/>
    <s v="signalista"/>
  </r>
  <r>
    <n v="290"/>
    <x v="7"/>
    <x v="20"/>
    <s v="výpravčí"/>
  </r>
  <r>
    <n v="291"/>
    <x v="3"/>
    <x v="100"/>
    <s v="výpravčí"/>
  </r>
  <r>
    <n v="292"/>
    <x v="3"/>
    <x v="72"/>
    <s v="signalista"/>
  </r>
  <r>
    <n v="293"/>
    <x v="3"/>
    <x v="63"/>
    <s v="výpravčí"/>
  </r>
  <r>
    <n v="294"/>
    <x v="2"/>
    <x v="61"/>
    <s v="trať.dispečer"/>
  </r>
  <r>
    <n v="295"/>
    <x v="1"/>
    <x v="27"/>
    <s v="výpravčí"/>
  </r>
  <r>
    <n v="296"/>
    <x v="1"/>
    <x v="93"/>
    <s v="výpravčí"/>
  </r>
  <r>
    <n v="297"/>
    <x v="3"/>
    <x v="101"/>
    <s v="operátorka"/>
  </r>
  <r>
    <n v="298"/>
    <x v="1"/>
    <x v="27"/>
    <s v="výpravčí"/>
  </r>
  <r>
    <n v="299"/>
    <x v="0"/>
    <x v="7"/>
    <s v="operátorka"/>
  </r>
  <r>
    <n v="300"/>
    <x v="4"/>
    <x v="102"/>
    <s v="prov.dispečer"/>
  </r>
  <r>
    <n v="301"/>
    <x v="0"/>
    <x v="7"/>
    <s v="výpravčí"/>
  </r>
  <r>
    <n v="302"/>
    <x v="0"/>
    <x v="7"/>
    <s v="výpravčí"/>
  </r>
  <r>
    <n v="303"/>
    <x v="0"/>
    <x v="88"/>
    <s v="výpravčí"/>
  </r>
  <r>
    <n v="304"/>
    <x v="3"/>
    <x v="14"/>
    <s v="výpravčí"/>
  </r>
  <r>
    <n v="305"/>
    <x v="0"/>
    <x v="27"/>
    <s v="IŽD"/>
  </r>
  <r>
    <n v="306"/>
    <x v="3"/>
    <x v="11"/>
    <s v="signalista"/>
  </r>
  <r>
    <n v="307"/>
    <x v="3"/>
    <x v="11"/>
    <s v="výpravčí"/>
  </r>
  <r>
    <n v="308"/>
    <x v="4"/>
    <x v="102"/>
    <s v="prov.dispečer"/>
  </r>
  <r>
    <n v="309"/>
    <x v="4"/>
    <x v="40"/>
    <s v="výpravčí"/>
  </r>
  <r>
    <n v="310"/>
    <x v="3"/>
    <x v="17"/>
    <s v="výpravčí"/>
  </r>
  <r>
    <n v="311"/>
    <x v="0"/>
    <x v="103"/>
    <s v="výpravčí"/>
  </r>
  <r>
    <n v="312"/>
    <x v="4"/>
    <x v="8"/>
    <s v="výpravčí"/>
  </r>
  <r>
    <n v="313"/>
    <x v="6"/>
    <x v="6"/>
    <s v="výpravčí"/>
  </r>
  <r>
    <n v="314"/>
    <x v="5"/>
    <x v="6"/>
    <s v="výpravčí"/>
  </r>
  <r>
    <n v="315"/>
    <x v="8"/>
    <x v="7"/>
    <m/>
  </r>
  <r>
    <n v="316"/>
    <x v="4"/>
    <x v="104"/>
    <s v="trať.dispečer"/>
  </r>
  <r>
    <n v="317"/>
    <x v="6"/>
    <x v="105"/>
    <s v="signalista"/>
  </r>
  <r>
    <n v="318"/>
    <x v="0"/>
    <x v="106"/>
    <s v="hradlář"/>
  </r>
  <r>
    <n v="319"/>
    <x v="6"/>
    <x v="87"/>
    <s v="výpravčí"/>
  </r>
  <r>
    <n v="320"/>
    <x v="0"/>
    <x v="48"/>
    <s v="výpravčí"/>
  </r>
  <r>
    <n v="321"/>
    <x v="3"/>
    <x v="60"/>
    <s v="výpravčí"/>
  </r>
  <r>
    <n v="322"/>
    <x v="3"/>
    <x v="21"/>
    <s v="výpravčí"/>
  </r>
  <r>
    <n v="323"/>
    <x v="1"/>
    <x v="7"/>
    <s v="výpravčí"/>
  </r>
  <r>
    <n v="324"/>
    <x v="0"/>
    <x v="27"/>
    <s v="operátor"/>
  </r>
  <r>
    <n v="325"/>
    <x v="0"/>
    <x v="7"/>
    <m/>
  </r>
  <r>
    <n v="326"/>
    <x v="2"/>
    <x v="107"/>
    <m/>
  </r>
  <r>
    <n v="327"/>
    <x v="4"/>
    <x v="33"/>
    <s v="operátorka"/>
  </r>
  <r>
    <n v="328"/>
    <x v="0"/>
    <x v="108"/>
    <s v="výpravčí"/>
  </r>
  <r>
    <n v="329"/>
    <x v="3"/>
    <x v="45"/>
    <s v="výpravčí"/>
  </r>
  <r>
    <n v="330"/>
    <x v="4"/>
    <x v="48"/>
    <m/>
  </r>
  <r>
    <n v="331"/>
    <x v="3"/>
    <x v="27"/>
    <s v="výpravčí"/>
  </r>
  <r>
    <n v="332"/>
    <x v="4"/>
    <x v="6"/>
    <s v="výpravčí"/>
  </r>
  <r>
    <n v="333"/>
    <x v="0"/>
    <x v="44"/>
    <s v="signalista"/>
  </r>
  <r>
    <n v="334"/>
    <x v="3"/>
    <x v="17"/>
    <s v="operátorka"/>
  </r>
  <r>
    <n v="335"/>
    <x v="6"/>
    <x v="7"/>
    <s v="výpravčí"/>
  </r>
  <r>
    <n v="336"/>
    <x v="3"/>
    <x v="21"/>
    <s v="výpravčí"/>
  </r>
  <r>
    <n v="337"/>
    <x v="4"/>
    <x v="63"/>
    <s v="trať.dispečer"/>
  </r>
  <r>
    <n v="338"/>
    <x v="4"/>
    <x v="88"/>
    <s v="výpravčí"/>
  </r>
  <r>
    <n v="339"/>
    <x v="0"/>
    <x v="58"/>
    <s v="výpravčí"/>
  </r>
  <r>
    <n v="340"/>
    <x v="6"/>
    <x v="11"/>
    <s v="operátorka"/>
  </r>
  <r>
    <n v="341"/>
    <x v="3"/>
    <x v="92"/>
    <s v="výpravčí"/>
  </r>
  <r>
    <n v="342"/>
    <x v="6"/>
    <x v="27"/>
    <s v="dozorčí prov."/>
  </r>
  <r>
    <n v="343"/>
    <x v="6"/>
    <x v="7"/>
    <s v="výpravčí"/>
  </r>
  <r>
    <n v="344"/>
    <x v="4"/>
    <x v="109"/>
    <s v="hlídač"/>
  </r>
  <r>
    <n v="345"/>
    <x v="0"/>
    <x v="54"/>
    <s v="signalista"/>
  </r>
  <r>
    <n v="346"/>
    <x v="6"/>
    <x v="7"/>
    <s v="výpravčí"/>
  </r>
  <r>
    <n v="347"/>
    <x v="6"/>
    <x v="110"/>
    <s v="výpravčí"/>
  </r>
  <r>
    <n v="348"/>
    <x v="6"/>
    <x v="79"/>
    <s v="výpravčí"/>
  </r>
  <r>
    <n v="349"/>
    <x v="6"/>
    <x v="79"/>
    <s v="výpravčí"/>
  </r>
  <r>
    <n v="350"/>
    <x v="1"/>
    <x v="5"/>
    <s v="výpravčí"/>
  </r>
  <r>
    <n v="351"/>
    <x v="1"/>
    <x v="6"/>
    <s v="výpravčí"/>
  </r>
  <r>
    <n v="352"/>
    <x v="1"/>
    <x v="5"/>
    <s v="výpravčí"/>
  </r>
  <r>
    <n v="353"/>
    <x v="3"/>
    <x v="40"/>
    <s v="výpravčí"/>
  </r>
  <r>
    <n v="354"/>
    <x v="6"/>
    <x v="110"/>
    <s v="výpravčí"/>
  </r>
  <r>
    <n v="355"/>
    <x v="6"/>
    <x v="111"/>
    <s v="výpravčí"/>
  </r>
  <r>
    <n v="356"/>
    <x v="0"/>
    <x v="7"/>
    <s v="operátorka"/>
  </r>
  <r>
    <n v="357"/>
    <x v="4"/>
    <x v="27"/>
    <s v="trať.dispečer"/>
  </r>
  <r>
    <n v="358"/>
    <x v="7"/>
    <x v="112"/>
    <s v="výpravčí"/>
  </r>
  <r>
    <n v="359"/>
    <x v="1"/>
    <x v="5"/>
    <s v="výpravčí"/>
  </r>
  <r>
    <n v="360"/>
    <x v="1"/>
    <x v="67"/>
    <s v="výpravčí"/>
  </r>
  <r>
    <n v="361"/>
    <x v="6"/>
    <x v="7"/>
    <s v="výpravčí"/>
  </r>
  <r>
    <n v="362"/>
    <x v="0"/>
    <x v="38"/>
    <s v="výpravčí"/>
  </r>
  <r>
    <n v="363"/>
    <x v="7"/>
    <x v="89"/>
    <s v="stan.dozorce"/>
  </r>
  <r>
    <n v="364"/>
    <x v="3"/>
    <x v="51"/>
    <s v="signalista"/>
  </r>
  <r>
    <n v="365"/>
    <x v="7"/>
    <x v="70"/>
    <s v="výpravčí"/>
  </r>
  <r>
    <n v="366"/>
    <x v="0"/>
    <x v="47"/>
    <s v="stan.dozorce"/>
  </r>
  <r>
    <n v="367"/>
    <x v="3"/>
    <x v="113"/>
    <s v="signalista"/>
  </r>
  <r>
    <n v="368"/>
    <x v="1"/>
    <x v="90"/>
    <s v="výpravčí"/>
  </r>
  <r>
    <n v="369"/>
    <x v="7"/>
    <x v="28"/>
    <s v="stan.dozorce"/>
  </r>
  <r>
    <n v="370"/>
    <x v="4"/>
    <x v="114"/>
    <s v="operátorka"/>
  </r>
  <r>
    <n v="371"/>
    <x v="1"/>
    <x v="7"/>
    <s v="výpravčí"/>
  </r>
  <r>
    <n v="372"/>
    <x v="0"/>
    <x v="7"/>
    <s v="výpravčí"/>
  </r>
  <r>
    <n v="373"/>
    <x v="1"/>
    <x v="5"/>
    <s v="signalista"/>
  </r>
  <r>
    <n v="374"/>
    <x v="6"/>
    <x v="55"/>
    <s v="dozorčí prov."/>
  </r>
  <r>
    <n v="375"/>
    <x v="4"/>
    <x v="6"/>
    <s v="trať.dispečer"/>
  </r>
  <r>
    <n v="376"/>
    <x v="3"/>
    <x v="14"/>
    <s v="výpravčí"/>
  </r>
  <r>
    <n v="377"/>
    <x v="8"/>
    <x v="7"/>
    <m/>
  </r>
  <r>
    <n v="378"/>
    <x v="0"/>
    <x v="115"/>
    <s v="výpravčí"/>
  </r>
  <r>
    <n v="379"/>
    <x v="3"/>
    <x v="21"/>
    <s v="výpravčí"/>
  </r>
  <r>
    <n v="380"/>
    <x v="0"/>
    <x v="7"/>
    <s v="operátorka"/>
  </r>
  <r>
    <n v="381"/>
    <x v="0"/>
    <x v="37"/>
    <s v="výpravčí"/>
  </r>
  <r>
    <n v="382"/>
    <x v="0"/>
    <x v="40"/>
    <s v="signalista"/>
  </r>
  <r>
    <n v="383"/>
    <x v="0"/>
    <x v="56"/>
    <m/>
  </r>
  <r>
    <n v="384"/>
    <x v="6"/>
    <x v="11"/>
    <s v="výpravčí"/>
  </r>
  <r>
    <n v="385"/>
    <x v="3"/>
    <x v="102"/>
    <s v="výpravčí"/>
  </r>
  <r>
    <n v="386"/>
    <x v="0"/>
    <x v="94"/>
    <s v="výpravčí"/>
  </r>
  <r>
    <n v="387"/>
    <x v="5"/>
    <x v="116"/>
    <s v="výpravčí"/>
  </r>
  <r>
    <n v="388"/>
    <x v="0"/>
    <x v="70"/>
    <s v="výpravčí"/>
  </r>
  <r>
    <n v="389"/>
    <x v="0"/>
    <x v="73"/>
    <s v="trať.dispečer"/>
  </r>
  <r>
    <n v="390"/>
    <x v="0"/>
    <x v="7"/>
    <s v="signalista"/>
  </r>
  <r>
    <n v="391"/>
    <x v="0"/>
    <x v="7"/>
    <s v="výpravčí"/>
  </r>
  <r>
    <n v="392"/>
    <x v="3"/>
    <x v="20"/>
    <s v="výpravčí"/>
  </r>
  <r>
    <n v="393"/>
    <x v="0"/>
    <x v="10"/>
    <s v="dispečer"/>
  </r>
  <r>
    <n v="394"/>
    <x v="4"/>
    <x v="12"/>
    <s v="trať.dispečer"/>
  </r>
  <r>
    <n v="395"/>
    <x v="0"/>
    <x v="7"/>
    <s v="prov.dispečer"/>
  </r>
  <r>
    <n v="396"/>
    <x v="3"/>
    <x v="3"/>
    <s v="výpravčí"/>
  </r>
  <r>
    <n v="397"/>
    <x v="0"/>
    <x v="73"/>
    <s v="výpravčí"/>
  </r>
  <r>
    <n v="398"/>
    <x v="0"/>
    <x v="117"/>
    <s v="výpravčí"/>
  </r>
  <r>
    <n v="399"/>
    <x v="6"/>
    <x v="11"/>
    <s v="signalista"/>
  </r>
  <r>
    <n v="400"/>
    <x v="5"/>
    <x v="11"/>
    <s v="výpravčí"/>
  </r>
  <r>
    <n v="401"/>
    <x v="0"/>
    <x v="7"/>
    <s v="operátorka"/>
  </r>
  <r>
    <n v="402"/>
    <x v="4"/>
    <x v="14"/>
    <s v="trať.dispečer"/>
  </r>
  <r>
    <n v="403"/>
    <x v="0"/>
    <x v="73"/>
    <s v="výpravčí"/>
  </r>
  <r>
    <n v="404"/>
    <x v="3"/>
    <x v="85"/>
    <s v="výpravčí"/>
  </r>
  <r>
    <n v="405"/>
    <x v="7"/>
    <x v="40"/>
    <s v="dozorčí prov."/>
  </r>
  <r>
    <n v="406"/>
    <x v="0"/>
    <x v="7"/>
    <s v="prov.dispečer"/>
  </r>
  <r>
    <n v="407"/>
    <x v="0"/>
    <x v="118"/>
    <m/>
  </r>
  <r>
    <n v="408"/>
    <x v="0"/>
    <x v="7"/>
    <s v="výpravčí"/>
  </r>
  <r>
    <n v="409"/>
    <x v="0"/>
    <x v="119"/>
    <s v="výpravčí"/>
  </r>
  <r>
    <n v="410"/>
    <x v="3"/>
    <x v="71"/>
    <s v="výpravčí"/>
  </r>
  <r>
    <n v="411"/>
    <x v="6"/>
    <x v="90"/>
    <s v="operátor"/>
  </r>
  <r>
    <n v="412"/>
    <x v="6"/>
    <x v="4"/>
    <s v="výpravčí"/>
  </r>
  <r>
    <n v="413"/>
    <x v="0"/>
    <x v="56"/>
    <s v="výpravčí"/>
  </r>
  <r>
    <n v="414"/>
    <x v="3"/>
    <x v="1"/>
    <s v="výpravčí"/>
  </r>
  <r>
    <n v="415"/>
    <x v="7"/>
    <x v="68"/>
    <s v="výpravčí"/>
  </r>
  <r>
    <n v="416"/>
    <x v="6"/>
    <x v="12"/>
    <s v="výpravčí"/>
  </r>
  <r>
    <n v="417"/>
    <x v="3"/>
    <x v="120"/>
    <s v="signalista"/>
  </r>
  <r>
    <n v="418"/>
    <x v="3"/>
    <x v="102"/>
    <s v="výpravčí"/>
  </r>
  <r>
    <n v="419"/>
    <x v="0"/>
    <x v="56"/>
    <s v="výpravčí"/>
  </r>
  <r>
    <n v="420"/>
    <x v="1"/>
    <x v="121"/>
    <s v="signalista"/>
  </r>
  <r>
    <n v="421"/>
    <x v="1"/>
    <x v="116"/>
    <s v="signalista"/>
  </r>
  <r>
    <n v="422"/>
    <x v="4"/>
    <x v="69"/>
    <s v="operátorka"/>
  </r>
  <r>
    <n v="423"/>
    <x v="3"/>
    <x v="17"/>
    <s v="výpravčí"/>
  </r>
  <r>
    <n v="424"/>
    <x v="3"/>
    <x v="17"/>
    <s v="výpravčí"/>
  </r>
  <r>
    <n v="425"/>
    <x v="5"/>
    <x v="48"/>
    <s v="výpravčí"/>
  </r>
  <r>
    <n v="426"/>
    <x v="0"/>
    <x v="38"/>
    <s v="výpravčí"/>
  </r>
  <r>
    <n v="427"/>
    <x v="4"/>
    <x v="79"/>
    <s v="operátorka"/>
  </r>
  <r>
    <n v="428"/>
    <x v="1"/>
    <x v="79"/>
    <s v="výpravčí"/>
  </r>
  <r>
    <n v="429"/>
    <x v="0"/>
    <x v="62"/>
    <s v="výpravčí"/>
  </r>
  <r>
    <n v="430"/>
    <x v="4"/>
    <x v="32"/>
    <s v="výpravčí"/>
  </r>
  <r>
    <n v="431"/>
    <x v="6"/>
    <x v="7"/>
    <s v="výpravčí"/>
  </r>
  <r>
    <n v="432"/>
    <x v="7"/>
    <x v="50"/>
    <s v="stan.dozorce"/>
  </r>
  <r>
    <n v="433"/>
    <x v="0"/>
    <x v="67"/>
    <s v="signalista"/>
  </r>
  <r>
    <n v="434"/>
    <x v="1"/>
    <x v="57"/>
    <s v="výpravčí"/>
  </r>
  <r>
    <n v="435"/>
    <x v="4"/>
    <x v="63"/>
    <s v="hlídač"/>
  </r>
  <r>
    <n v="436"/>
    <x v="6"/>
    <x v="7"/>
    <s v="výpravčí"/>
  </r>
  <r>
    <n v="437"/>
    <x v="3"/>
    <x v="49"/>
    <s v="výpravčí"/>
  </r>
  <r>
    <n v="438"/>
    <x v="6"/>
    <x v="122"/>
    <s v="výpravčí"/>
  </r>
  <r>
    <n v="439"/>
    <x v="0"/>
    <x v="7"/>
    <s v="výpravčí"/>
  </r>
  <r>
    <n v="440"/>
    <x v="0"/>
    <x v="40"/>
    <s v="výpravčí"/>
  </r>
  <r>
    <n v="441"/>
    <x v="0"/>
    <x v="73"/>
    <s v="výpravčí"/>
  </r>
  <r>
    <n v="442"/>
    <x v="8"/>
    <x v="7"/>
    <m/>
  </r>
  <r>
    <n v="443"/>
    <x v="0"/>
    <x v="38"/>
    <s v="výpravčí"/>
  </r>
  <r>
    <n v="444"/>
    <x v="6"/>
    <x v="4"/>
    <s v="výpravčí"/>
  </r>
  <r>
    <n v="445"/>
    <x v="3"/>
    <x v="40"/>
    <s v="výpravčí"/>
  </r>
  <r>
    <n v="446"/>
    <x v="1"/>
    <x v="99"/>
    <s v="výpravčí"/>
  </r>
  <r>
    <n v="447"/>
    <x v="7"/>
    <x v="27"/>
    <s v="operátorka"/>
  </r>
  <r>
    <n v="448"/>
    <x v="1"/>
    <x v="9"/>
    <s v="stan.dozorce"/>
  </r>
  <r>
    <n v="449"/>
    <x v="5"/>
    <x v="25"/>
    <s v="signalista"/>
  </r>
  <r>
    <n v="450"/>
    <x v="3"/>
    <x v="70"/>
    <s v="výpravčí"/>
  </r>
  <r>
    <n v="451"/>
    <x v="0"/>
    <x v="7"/>
    <s v="prov.dispečer"/>
  </r>
  <r>
    <n v="452"/>
    <x v="8"/>
    <x v="50"/>
    <s v="dispečer"/>
  </r>
  <r>
    <n v="453"/>
    <x v="8"/>
    <x v="38"/>
    <m/>
  </r>
  <r>
    <n v="454"/>
    <x v="0"/>
    <x v="7"/>
    <s v="výpravčí"/>
  </r>
  <r>
    <n v="455"/>
    <x v="0"/>
    <x v="103"/>
    <s v="výpravčí"/>
  </r>
  <r>
    <n v="456"/>
    <x v="0"/>
    <x v="7"/>
    <s v="výpravčí"/>
  </r>
  <r>
    <n v="457"/>
    <x v="7"/>
    <x v="50"/>
    <s v="dozorce výh."/>
  </r>
  <r>
    <n v="458"/>
    <x v="7"/>
    <x v="89"/>
    <s v="výpravčí"/>
  </r>
  <r>
    <n v="459"/>
    <x v="4"/>
    <x v="88"/>
    <s v="trať.dispečer"/>
  </r>
  <r>
    <n v="460"/>
    <x v="3"/>
    <x v="6"/>
    <s v="výpravčí"/>
  </r>
  <r>
    <n v="461"/>
    <x v="1"/>
    <x v="10"/>
    <s v="signalista"/>
  </r>
  <r>
    <n v="462"/>
    <x v="4"/>
    <x v="33"/>
    <s v="trať.dispečer"/>
  </r>
  <r>
    <n v="463"/>
    <x v="4"/>
    <x v="57"/>
    <s v="operátorka"/>
  </r>
  <r>
    <n v="464"/>
    <x v="7"/>
    <x v="59"/>
    <s v="signalista"/>
  </r>
  <r>
    <n v="465"/>
    <x v="0"/>
    <x v="123"/>
    <s v="trať.dispečer"/>
  </r>
  <r>
    <n v="466"/>
    <x v="0"/>
    <x v="7"/>
    <s v="výpravčí"/>
  </r>
  <r>
    <n v="467"/>
    <x v="1"/>
    <x v="33"/>
    <s v="výpravčí"/>
  </r>
  <r>
    <n v="468"/>
    <x v="7"/>
    <x v="27"/>
    <s v="výpravčí"/>
  </r>
  <r>
    <n v="469"/>
    <x v="0"/>
    <x v="7"/>
    <s v="trať.dispečer"/>
  </r>
  <r>
    <n v="470"/>
    <x v="1"/>
    <x v="87"/>
    <s v="výpravčí"/>
  </r>
  <r>
    <n v="471"/>
    <x v="0"/>
    <x v="7"/>
    <m/>
  </r>
  <r>
    <n v="472"/>
    <x v="4"/>
    <x v="25"/>
    <s v="operátorka"/>
  </r>
  <r>
    <n v="473"/>
    <x v="5"/>
    <x v="77"/>
    <s v="výpravčí"/>
  </r>
  <r>
    <n v="474"/>
    <x v="0"/>
    <x v="55"/>
    <s v="IŽD"/>
  </r>
  <r>
    <n v="475"/>
    <x v="3"/>
    <x v="124"/>
    <s v="výpravčí"/>
  </r>
  <r>
    <n v="476"/>
    <x v="0"/>
    <x v="7"/>
    <s v="výpravčí"/>
  </r>
  <r>
    <n v="477"/>
    <x v="4"/>
    <x v="8"/>
    <s v="výpravčí"/>
  </r>
  <r>
    <n v="478"/>
    <x v="3"/>
    <x v="39"/>
    <s v="výpravčí"/>
  </r>
  <r>
    <n v="479"/>
    <x v="3"/>
    <x v="21"/>
    <s v="výpravčí"/>
  </r>
  <r>
    <n v="480"/>
    <x v="3"/>
    <x v="20"/>
    <s v="výpravčí"/>
  </r>
  <r>
    <n v="481"/>
    <x v="3"/>
    <x v="37"/>
    <s v="výpravčí"/>
  </r>
  <r>
    <n v="482"/>
    <x v="3"/>
    <x v="39"/>
    <s v="výpravčí"/>
  </r>
  <r>
    <n v="483"/>
    <x v="4"/>
    <x v="99"/>
    <s v="trať.dispečer"/>
  </r>
  <r>
    <n v="484"/>
    <x v="0"/>
    <x v="86"/>
    <s v="hradlář"/>
  </r>
  <r>
    <n v="485"/>
    <x v="0"/>
    <x v="63"/>
    <s v="vypravčí"/>
  </r>
  <r>
    <n v="486"/>
    <x v="0"/>
    <x v="38"/>
    <s v="výpravčí"/>
  </r>
  <r>
    <n v="487"/>
    <x v="0"/>
    <x v="27"/>
    <s v="výpravčí"/>
  </r>
  <r>
    <n v="488"/>
    <x v="3"/>
    <x v="4"/>
    <s v="výpravčí"/>
  </r>
  <r>
    <n v="489"/>
    <x v="4"/>
    <x v="125"/>
    <s v="výpravčí"/>
  </r>
  <r>
    <n v="490"/>
    <x v="0"/>
    <x v="7"/>
    <s v="výpravčí"/>
  </r>
  <r>
    <n v="491"/>
    <x v="1"/>
    <x v="4"/>
    <s v="výpravčí"/>
  </r>
  <r>
    <n v="492"/>
    <x v="3"/>
    <x v="126"/>
    <s v="výpravčí"/>
  </r>
  <r>
    <n v="493"/>
    <x v="0"/>
    <x v="127"/>
    <m/>
  </r>
  <r>
    <n v="494"/>
    <x v="1"/>
    <x v="90"/>
    <s v="signalista"/>
  </r>
  <r>
    <n v="495"/>
    <x v="6"/>
    <x v="4"/>
    <s v="výpravčí"/>
  </r>
  <r>
    <n v="496"/>
    <x v="1"/>
    <x v="128"/>
    <s v="signalista"/>
  </r>
  <r>
    <n v="497"/>
    <x v="7"/>
    <x v="18"/>
    <s v="stan.dozorce"/>
  </r>
  <r>
    <n v="498"/>
    <x v="0"/>
    <x v="129"/>
    <s v="operátorka"/>
  </r>
  <r>
    <n v="499"/>
    <x v="3"/>
    <x v="6"/>
    <s v="výpravčí"/>
  </r>
  <r>
    <n v="500"/>
    <x v="1"/>
    <x v="5"/>
    <s v="výpravčí"/>
  </r>
  <r>
    <n v="501"/>
    <x v="6"/>
    <x v="88"/>
    <s v="stan.dozorce"/>
  </r>
  <r>
    <n v="502"/>
    <x v="4"/>
    <x v="124"/>
    <s v="hlídač"/>
  </r>
  <r>
    <n v="503"/>
    <x v="0"/>
    <x v="7"/>
    <s v="prov.dispečer"/>
  </r>
  <r>
    <n v="504"/>
    <x v="4"/>
    <x v="57"/>
    <s v="operátorka"/>
  </r>
  <r>
    <n v="505"/>
    <x v="3"/>
    <x v="7"/>
    <s v="výpravčí"/>
  </r>
  <r>
    <n v="506"/>
    <x v="0"/>
    <x v="0"/>
    <s v="signalista"/>
  </r>
  <r>
    <n v="507"/>
    <x v="8"/>
    <x v="55"/>
    <s v="výpravčí "/>
  </r>
  <r>
    <n v="508"/>
    <x v="0"/>
    <x v="56"/>
    <s v="výpravčí"/>
  </r>
  <r>
    <n v="509"/>
    <x v="4"/>
    <x v="14"/>
    <s v="trať.dispečer"/>
  </r>
  <r>
    <n v="510"/>
    <x v="3"/>
    <x v="130"/>
    <s v="výpravčí"/>
  </r>
  <r>
    <n v="511"/>
    <x v="7"/>
    <x v="27"/>
    <s v="výpravčí"/>
  </r>
  <r>
    <n v="512"/>
    <x v="6"/>
    <x v="7"/>
    <s v="operátorka"/>
  </r>
  <r>
    <n v="513"/>
    <x v="1"/>
    <x v="7"/>
    <s v="výpravčí"/>
  </r>
  <r>
    <n v="514"/>
    <x v="0"/>
    <x v="7"/>
    <s v="prov.dispečer"/>
  </r>
  <r>
    <n v="515"/>
    <x v="6"/>
    <x v="7"/>
    <s v="operátorka"/>
  </r>
  <r>
    <n v="516"/>
    <x v="0"/>
    <x v="93"/>
    <s v="výpravčí"/>
  </r>
  <r>
    <n v="517"/>
    <x v="0"/>
    <x v="131"/>
    <s v="výpravčí"/>
  </r>
  <r>
    <n v="518"/>
    <x v="1"/>
    <x v="131"/>
    <s v="výpravčí"/>
  </r>
  <r>
    <n v="519"/>
    <x v="4"/>
    <x v="93"/>
    <s v="trať.dispečer"/>
  </r>
  <r>
    <n v="520"/>
    <x v="0"/>
    <x v="93"/>
    <s v="ostraha"/>
  </r>
  <r>
    <n v="521"/>
    <x v="0"/>
    <x v="93"/>
    <s v="ostraha"/>
  </r>
  <r>
    <n v="522"/>
    <x v="0"/>
    <x v="131"/>
    <s v="operátorka"/>
  </r>
  <r>
    <n v="523"/>
    <x v="7"/>
    <x v="131"/>
    <s v="výpravčí"/>
  </r>
  <r>
    <n v="524"/>
    <x v="4"/>
    <x v="132"/>
    <s v="prov.dispečer"/>
  </r>
  <r>
    <n v="525"/>
    <x v="4"/>
    <x v="132"/>
    <s v="trať.dispečer"/>
  </r>
  <r>
    <n v="526"/>
    <x v="4"/>
    <x v="132"/>
    <s v="výpravčí"/>
  </r>
  <r>
    <n v="527"/>
    <x v="4"/>
    <x v="132"/>
    <s v="operátorka"/>
  </r>
  <r>
    <n v="528"/>
    <x v="4"/>
    <x v="132"/>
    <s v="trať.dispečer"/>
  </r>
  <r>
    <n v="529"/>
    <x v="4"/>
    <x v="132"/>
    <m/>
  </r>
  <r>
    <n v="530"/>
    <x v="4"/>
    <x v="132"/>
    <s v="operátorka"/>
  </r>
  <r>
    <n v="531"/>
    <x v="4"/>
    <x v="132"/>
    <m/>
  </r>
  <r>
    <n v="532"/>
    <x v="4"/>
    <x v="132"/>
    <s v="trať.dispečer"/>
  </r>
  <r>
    <n v="533"/>
    <x v="4"/>
    <x v="132"/>
    <s v="operátorka"/>
  </r>
  <r>
    <n v="534"/>
    <x v="4"/>
    <x v="132"/>
    <m/>
  </r>
  <r>
    <n v="535"/>
    <x v="4"/>
    <x v="132"/>
    <m/>
  </r>
  <r>
    <n v="536"/>
    <x v="4"/>
    <x v="132"/>
    <s v="výpravčí"/>
  </r>
  <r>
    <n v="537"/>
    <x v="4"/>
    <x v="132"/>
    <m/>
  </r>
  <r>
    <n v="538"/>
    <x v="4"/>
    <x v="132"/>
    <s v="prov.dispečer"/>
  </r>
  <r>
    <n v="539"/>
    <x v="4"/>
    <x v="132"/>
    <s v="operátorka"/>
  </r>
  <r>
    <n v="540"/>
    <x v="4"/>
    <x v="132"/>
    <m/>
  </r>
  <r>
    <n v="541"/>
    <x v="4"/>
    <x v="132"/>
    <s v="operátorka"/>
  </r>
  <r>
    <n v="542"/>
    <x v="4"/>
    <x v="132"/>
    <s v="prov.dispečer"/>
  </r>
  <r>
    <n v="543"/>
    <x v="4"/>
    <x v="132"/>
    <s v="operátorka"/>
  </r>
  <r>
    <n v="544"/>
    <x v="4"/>
    <x v="132"/>
    <s v="prov.dispečer"/>
  </r>
  <r>
    <n v="545"/>
    <x v="4"/>
    <x v="132"/>
    <s v="prov.dispečer"/>
  </r>
  <r>
    <n v="546"/>
    <x v="4"/>
    <x v="132"/>
    <s v="trať.dispečer"/>
  </r>
  <r>
    <n v="547"/>
    <x v="4"/>
    <x v="132"/>
    <s v="prov.dispečer"/>
  </r>
  <r>
    <n v="548"/>
    <x v="4"/>
    <x v="132"/>
    <s v="prov.dispečer"/>
  </r>
  <r>
    <n v="549"/>
    <x v="4"/>
    <x v="132"/>
    <m/>
  </r>
  <r>
    <n v="550"/>
    <x v="4"/>
    <x v="132"/>
    <s v="výpravčí"/>
  </r>
  <r>
    <n v="551"/>
    <x v="4"/>
    <x v="132"/>
    <s v="prov.dispečer"/>
  </r>
  <r>
    <n v="552"/>
    <x v="4"/>
    <x v="132"/>
    <s v="výpravčí"/>
  </r>
  <r>
    <n v="553"/>
    <x v="4"/>
    <x v="132"/>
    <s v="prov.dispečer"/>
  </r>
  <r>
    <n v="554"/>
    <x v="4"/>
    <x v="132"/>
    <s v="výpravčí"/>
  </r>
  <r>
    <n v="555"/>
    <x v="4"/>
    <x v="132"/>
    <s v="operátorka"/>
  </r>
  <r>
    <n v="556"/>
    <x v="4"/>
    <x v="132"/>
    <m/>
  </r>
  <r>
    <n v="557"/>
    <x v="4"/>
    <x v="132"/>
    <s v="trať.dispečer"/>
  </r>
  <r>
    <n v="558"/>
    <x v="4"/>
    <x v="132"/>
    <s v="operátorka"/>
  </r>
  <r>
    <n v="559"/>
    <x v="4"/>
    <x v="132"/>
    <m/>
  </r>
  <r>
    <n v="560"/>
    <x v="4"/>
    <x v="132"/>
    <m/>
  </r>
  <r>
    <n v="561"/>
    <x v="4"/>
    <x v="132"/>
    <m/>
  </r>
  <r>
    <n v="562"/>
    <x v="4"/>
    <x v="132"/>
    <m/>
  </r>
  <r>
    <n v="563"/>
    <x v="4"/>
    <x v="132"/>
    <s v="operátorka"/>
  </r>
  <r>
    <n v="564"/>
    <x v="4"/>
    <x v="132"/>
    <s v="trať.dispečer"/>
  </r>
  <r>
    <n v="565"/>
    <x v="4"/>
    <x v="132"/>
    <s v="operátork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7E0AB9-CF4B-4ED9-B86F-AD99556C7369}" name="Kontingenční tabulka2" cacheId="0" applyNumberFormats="0" applyBorderFormats="0" applyFontFormats="0" applyPatternFormats="0" applyAlignmentFormats="0" applyWidthHeightFormats="1" dataCaption="Hodnoty" missingCaption="0" updatedVersion="8" minRefreshableVersion="3" useAutoFormatting="1" itemPrintTitles="1" createdVersion="8" indent="0" outline="1" outlineData="1" multipleFieldFilters="0" chartFormat="55">
  <location ref="F3:P18" firstHeaderRow="1" firstDataRow="2" firstDataCol="1"/>
  <pivotFields count="7">
    <pivotField dataField="1" showAll="0"/>
    <pivotField axis="axisCol" showAll="0">
      <items count="11">
        <item x="4"/>
        <item x="2"/>
        <item x="8"/>
        <item m="1" x="9"/>
        <item x="3"/>
        <item x="1"/>
        <item x="7"/>
        <item x="5"/>
        <item x="0"/>
        <item x="6"/>
        <item t="default"/>
      </items>
    </pivotField>
    <pivotField numFmtId="164" showAll="0">
      <items count="134">
        <item x="55"/>
        <item x="7"/>
        <item x="56"/>
        <item x="53"/>
        <item x="2"/>
        <item x="110"/>
        <item x="62"/>
        <item x="86"/>
        <item x="0"/>
        <item x="115"/>
        <item x="103"/>
        <item x="54"/>
        <item x="17"/>
        <item x="100"/>
        <item x="64"/>
        <item x="13"/>
        <item x="101"/>
        <item x="85"/>
        <item x="75"/>
        <item x="3"/>
        <item x="113"/>
        <item x="51"/>
        <item x="120"/>
        <item x="106"/>
        <item x="31"/>
        <item x="36"/>
        <item x="129"/>
        <item x="118"/>
        <item x="19"/>
        <item x="127"/>
        <item x="111"/>
        <item x="126"/>
        <item x="43"/>
        <item x="23"/>
        <item x="81"/>
        <item x="76"/>
        <item x="123"/>
        <item x="107"/>
        <item x="58"/>
        <item x="83"/>
        <item x="65"/>
        <item x="104"/>
        <item x="42"/>
        <item x="14"/>
        <item x="63"/>
        <item x="32"/>
        <item x="94"/>
        <item x="69"/>
        <item x="39"/>
        <item x="98"/>
        <item x="45"/>
        <item x="105"/>
        <item x="70"/>
        <item x="108"/>
        <item x="21"/>
        <item x="5"/>
        <item x="91"/>
        <item x="4"/>
        <item x="6"/>
        <item x="38"/>
        <item x="8"/>
        <item x="48"/>
        <item x="130"/>
        <item x="46"/>
        <item x="73"/>
        <item x="26"/>
        <item x="20"/>
        <item x="87"/>
        <item x="27"/>
        <item x="33"/>
        <item x="97"/>
        <item x="15"/>
        <item x="18"/>
        <item x="117"/>
        <item x="125"/>
        <item x="78"/>
        <item x="60"/>
        <item x="96"/>
        <item x="37"/>
        <item x="72"/>
        <item x="67"/>
        <item x="88"/>
        <item x="95"/>
        <item x="24"/>
        <item x="82"/>
        <item x="124"/>
        <item x="9"/>
        <item x="28"/>
        <item x="66"/>
        <item x="79"/>
        <item x="89"/>
        <item x="92"/>
        <item x="29"/>
        <item x="50"/>
        <item x="112"/>
        <item x="68"/>
        <item x="52"/>
        <item x="49"/>
        <item x="77"/>
        <item x="30"/>
        <item x="22"/>
        <item x="1"/>
        <item x="11"/>
        <item x="59"/>
        <item x="102"/>
        <item x="122"/>
        <item x="10"/>
        <item x="84"/>
        <item x="41"/>
        <item x="34"/>
        <item x="47"/>
        <item x="16"/>
        <item x="90"/>
        <item x="80"/>
        <item x="128"/>
        <item x="12"/>
        <item x="25"/>
        <item x="40"/>
        <item x="61"/>
        <item x="44"/>
        <item x="114"/>
        <item x="99"/>
        <item x="119"/>
        <item x="116"/>
        <item x="74"/>
        <item x="35"/>
        <item x="109"/>
        <item x="57"/>
        <item x="121"/>
        <item x="71"/>
        <item x="93"/>
        <item x="131"/>
        <item x="132"/>
        <item t="default"/>
      </items>
    </pivotField>
    <pivotField showAll="0"/>
    <pivotField showAll="0" defaultSubtotal="0"/>
    <pivotField showAll="0" defaultSubtotal="0"/>
    <pivotField axis="axisRow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1">
    <field x="6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10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Počet z ID" fld="0" subtotal="count" baseField="1" baseItem="0"/>
  </dataFields>
  <chartFormats count="17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7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7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7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7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7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7" format="29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6" count="1" selected="0">
            <x v="1"/>
          </reference>
        </references>
      </pivotArea>
    </chartFormat>
    <chartFormat chart="7" format="30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6" count="1" selected="0">
            <x v="1"/>
          </reference>
        </references>
      </pivotArea>
    </chartFormat>
    <chartFormat chart="7" format="3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"/>
          </reference>
        </references>
      </pivotArea>
    </chartFormat>
    <chartFormat chart="7" format="3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5"/>
          </reference>
        </references>
      </pivotArea>
    </chartFormat>
    <chartFormat chart="7" format="3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5"/>
          </reference>
        </references>
      </pivotArea>
    </chartFormat>
    <chartFormat chart="7" format="3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8"/>
          </reference>
        </references>
      </pivotArea>
    </chartFormat>
    <chartFormat chart="7" format="35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3"/>
          </reference>
        </references>
      </pivotArea>
    </chartFormat>
    <chartFormat chart="7" format="36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6" count="1" selected="0">
            <x v="2"/>
          </reference>
        </references>
      </pivotArea>
    </chartFormat>
    <chartFormat chart="7" format="3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2"/>
          </reference>
        </references>
      </pivotArea>
    </chartFormat>
    <chartFormat chart="7" format="38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3"/>
          </reference>
        </references>
      </pivotArea>
    </chartFormat>
    <chartFormat chart="7" format="3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3"/>
          </reference>
        </references>
      </pivotArea>
    </chartFormat>
    <chartFormat chart="7" format="4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3"/>
          </reference>
        </references>
      </pivotArea>
    </chartFormat>
    <chartFormat chart="7" format="4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6" count="1" selected="0">
            <x v="3"/>
          </reference>
        </references>
      </pivotArea>
    </chartFormat>
    <chartFormat chart="7" format="42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6" count="1" selected="0">
            <x v="3"/>
          </reference>
        </references>
      </pivotArea>
    </chartFormat>
    <chartFormat chart="7" format="43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6" count="1" selected="0">
            <x v="4"/>
          </reference>
        </references>
      </pivotArea>
    </chartFormat>
    <chartFormat chart="7" format="44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6" count="1" selected="0">
            <x v="4"/>
          </reference>
        </references>
      </pivotArea>
    </chartFormat>
    <chartFormat chart="7" format="45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6" count="1" selected="0">
            <x v="4"/>
          </reference>
        </references>
      </pivotArea>
    </chartFormat>
    <chartFormat chart="7" format="46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6" count="1" selected="0">
            <x v="4"/>
          </reference>
        </references>
      </pivotArea>
    </chartFormat>
    <chartFormat chart="7" format="47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6" count="1" selected="0">
            <x v="2"/>
          </reference>
        </references>
      </pivotArea>
    </chartFormat>
    <chartFormat chart="7" format="48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6" count="1" selected="0">
            <x v="3"/>
          </reference>
        </references>
      </pivotArea>
    </chartFormat>
    <chartFormat chart="7" format="4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4"/>
          </reference>
        </references>
      </pivotArea>
    </chartFormat>
    <chartFormat chart="7" format="50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6" count="1" selected="0">
            <x v="4"/>
          </reference>
        </references>
      </pivotArea>
    </chartFormat>
    <chartFormat chart="7" format="5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6" count="1" selected="0">
            <x v="5"/>
          </reference>
        </references>
      </pivotArea>
    </chartFormat>
    <chartFormat chart="7" format="52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6" count="1" selected="0">
            <x v="5"/>
          </reference>
        </references>
      </pivotArea>
    </chartFormat>
    <chartFormat chart="7" format="53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6" count="1" selected="0">
            <x v="5"/>
          </reference>
        </references>
      </pivotArea>
    </chartFormat>
    <chartFormat chart="7" format="5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6"/>
          </reference>
        </references>
      </pivotArea>
    </chartFormat>
    <chartFormat chart="7" format="55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6" count="1" selected="0">
            <x v="13"/>
          </reference>
        </references>
      </pivotArea>
    </chartFormat>
    <chartFormat chart="7" format="56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6" count="1" selected="0">
            <x v="13"/>
          </reference>
        </references>
      </pivotArea>
    </chartFormat>
    <chartFormat chart="7" format="5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3"/>
          </reference>
        </references>
      </pivotArea>
    </chartFormat>
    <chartFormat chart="7" format="5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3"/>
          </reference>
        </references>
      </pivotArea>
    </chartFormat>
    <chartFormat chart="7" format="5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2"/>
          </reference>
        </references>
      </pivotArea>
    </chartFormat>
    <chartFormat chart="7" format="6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1"/>
          </reference>
        </references>
      </pivotArea>
    </chartFormat>
    <chartFormat chart="7" format="6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1"/>
          </reference>
        </references>
      </pivotArea>
    </chartFormat>
    <chartFormat chart="16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6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6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6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6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6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6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6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6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5" format="1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5" format="1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5" format="10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"/>
          </reference>
        </references>
      </pivotArea>
    </chartFormat>
    <chartFormat chart="25" format="10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3"/>
          </reference>
        </references>
      </pivotArea>
    </chartFormat>
    <chartFormat chart="25" format="10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5"/>
          </reference>
        </references>
      </pivotArea>
    </chartFormat>
    <chartFormat chart="25" format="10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1"/>
          </reference>
        </references>
      </pivotArea>
    </chartFormat>
    <chartFormat chart="25" format="10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3"/>
          </reference>
        </references>
      </pivotArea>
    </chartFormat>
    <chartFormat chart="25" format="1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5" format="11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2"/>
          </reference>
        </references>
      </pivotArea>
    </chartFormat>
    <chartFormat chart="25" format="11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3"/>
          </reference>
        </references>
      </pivotArea>
    </chartFormat>
    <chartFormat chart="25" format="11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4"/>
          </reference>
        </references>
      </pivotArea>
    </chartFormat>
    <chartFormat chart="25" format="11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5"/>
          </reference>
        </references>
      </pivotArea>
    </chartFormat>
    <chartFormat chart="25" format="11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6"/>
          </reference>
        </references>
      </pivotArea>
    </chartFormat>
    <chartFormat chart="25" format="11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8"/>
          </reference>
        </references>
      </pivotArea>
    </chartFormat>
    <chartFormat chart="25" format="11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2"/>
          </reference>
        </references>
      </pivotArea>
    </chartFormat>
    <chartFormat chart="25" format="11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3"/>
          </reference>
        </references>
      </pivotArea>
    </chartFormat>
    <chartFormat chart="25" format="1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5" format="119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3"/>
          </reference>
        </references>
      </pivotArea>
    </chartFormat>
    <chartFormat chart="25" format="1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5" format="12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6" count="1" selected="0">
            <x v="3"/>
          </reference>
        </references>
      </pivotArea>
    </chartFormat>
    <chartFormat chart="25" format="122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6" count="1" selected="0">
            <x v="4"/>
          </reference>
        </references>
      </pivotArea>
    </chartFormat>
    <chartFormat chart="25" format="123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6" count="1" selected="0">
            <x v="5"/>
          </reference>
        </references>
      </pivotArea>
    </chartFormat>
    <chartFormat chart="25" format="1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5" format="125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6" count="1" selected="0">
            <x v="1"/>
          </reference>
        </references>
      </pivotArea>
    </chartFormat>
    <chartFormat chart="25" format="126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6" count="1" selected="0">
            <x v="2"/>
          </reference>
        </references>
      </pivotArea>
    </chartFormat>
    <chartFormat chart="25" format="127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6" count="1" selected="0">
            <x v="3"/>
          </reference>
        </references>
      </pivotArea>
    </chartFormat>
    <chartFormat chart="25" format="128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6" count="1" selected="0">
            <x v="4"/>
          </reference>
        </references>
      </pivotArea>
    </chartFormat>
    <chartFormat chart="25" format="129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6" count="1" selected="0">
            <x v="5"/>
          </reference>
        </references>
      </pivotArea>
    </chartFormat>
    <chartFormat chart="25" format="1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5" format="13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6" count="1" selected="0">
            <x v="1"/>
          </reference>
        </references>
      </pivotArea>
    </chartFormat>
    <chartFormat chart="25" format="132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6" count="1" selected="0">
            <x v="2"/>
          </reference>
        </references>
      </pivotArea>
    </chartFormat>
    <chartFormat chart="25" format="133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6" count="1" selected="0">
            <x v="3"/>
          </reference>
        </references>
      </pivotArea>
    </chartFormat>
    <chartFormat chart="25" format="134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6" count="1" selected="0">
            <x v="4"/>
          </reference>
        </references>
      </pivotArea>
    </chartFormat>
    <chartFormat chart="25" format="135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6" count="1" selected="0">
            <x v="5"/>
          </reference>
        </references>
      </pivotArea>
    </chartFormat>
    <chartFormat chart="25" format="136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6" count="1" selected="0">
            <x v="13"/>
          </reference>
        </references>
      </pivotArea>
    </chartFormat>
    <chartFormat chart="25" format="1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5" format="138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6" count="1" selected="0">
            <x v="4"/>
          </reference>
        </references>
      </pivotArea>
    </chartFormat>
    <chartFormat chart="25" format="1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5" format="140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6" count="1" selected="0">
            <x v="4"/>
          </reference>
        </references>
      </pivotArea>
    </chartFormat>
    <chartFormat chart="25" format="14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6" count="1" selected="0">
            <x v="13"/>
          </reference>
        </references>
      </pivotArea>
    </chartFormat>
    <chartFormat chart="25" format="14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0"/>
          </reference>
        </references>
      </pivotArea>
    </chartFormat>
    <chartFormat chart="38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8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8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8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8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8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8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8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8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4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42" format="1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2" format="1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2" format="10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"/>
          </reference>
        </references>
      </pivotArea>
    </chartFormat>
    <chartFormat chart="42" format="10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3"/>
          </reference>
        </references>
      </pivotArea>
    </chartFormat>
    <chartFormat chart="42" format="10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5"/>
          </reference>
        </references>
      </pivotArea>
    </chartFormat>
    <chartFormat chart="42" format="10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1"/>
          </reference>
        </references>
      </pivotArea>
    </chartFormat>
    <chartFormat chart="42" format="10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3"/>
          </reference>
        </references>
      </pivotArea>
    </chartFormat>
    <chartFormat chart="42" format="1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2" format="11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2"/>
          </reference>
        </references>
      </pivotArea>
    </chartFormat>
    <chartFormat chart="42" format="11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3"/>
          </reference>
        </references>
      </pivotArea>
    </chartFormat>
    <chartFormat chart="42" format="11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4"/>
          </reference>
        </references>
      </pivotArea>
    </chartFormat>
    <chartFormat chart="42" format="11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5"/>
          </reference>
        </references>
      </pivotArea>
    </chartFormat>
    <chartFormat chart="42" format="11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6"/>
          </reference>
        </references>
      </pivotArea>
    </chartFormat>
    <chartFormat chart="42" format="11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8"/>
          </reference>
        </references>
      </pivotArea>
    </chartFormat>
    <chartFormat chart="42" format="11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2"/>
          </reference>
        </references>
      </pivotArea>
    </chartFormat>
    <chartFormat chart="42" format="11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3"/>
          </reference>
        </references>
      </pivotArea>
    </chartFormat>
    <chartFormat chart="42" format="1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2" format="119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3"/>
          </reference>
        </references>
      </pivotArea>
    </chartFormat>
    <chartFormat chart="42" format="1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2" format="12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6" count="1" selected="0">
            <x v="3"/>
          </reference>
        </references>
      </pivotArea>
    </chartFormat>
    <chartFormat chart="42" format="122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6" count="1" selected="0">
            <x v="4"/>
          </reference>
        </references>
      </pivotArea>
    </chartFormat>
    <chartFormat chart="42" format="123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6" count="1" selected="0">
            <x v="5"/>
          </reference>
        </references>
      </pivotArea>
    </chartFormat>
    <chartFormat chart="42" format="1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2" format="125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6" count="1" selected="0">
            <x v="1"/>
          </reference>
        </references>
      </pivotArea>
    </chartFormat>
    <chartFormat chart="42" format="126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6" count="1" selected="0">
            <x v="2"/>
          </reference>
        </references>
      </pivotArea>
    </chartFormat>
    <chartFormat chart="42" format="127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6" count="1" selected="0">
            <x v="3"/>
          </reference>
        </references>
      </pivotArea>
    </chartFormat>
    <chartFormat chart="42" format="128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6" count="1" selected="0">
            <x v="4"/>
          </reference>
        </references>
      </pivotArea>
    </chartFormat>
    <chartFormat chart="42" format="129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6" count="1" selected="0">
            <x v="5"/>
          </reference>
        </references>
      </pivotArea>
    </chartFormat>
    <chartFormat chart="42" format="1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2" format="13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6" count="1" selected="0">
            <x v="1"/>
          </reference>
        </references>
      </pivotArea>
    </chartFormat>
    <chartFormat chart="42" format="132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6" count="1" selected="0">
            <x v="2"/>
          </reference>
        </references>
      </pivotArea>
    </chartFormat>
    <chartFormat chart="42" format="133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6" count="1" selected="0">
            <x v="3"/>
          </reference>
        </references>
      </pivotArea>
    </chartFormat>
    <chartFormat chart="42" format="134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6" count="1" selected="0">
            <x v="4"/>
          </reference>
        </references>
      </pivotArea>
    </chartFormat>
    <chartFormat chart="42" format="135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6" count="1" selected="0">
            <x v="5"/>
          </reference>
        </references>
      </pivotArea>
    </chartFormat>
    <chartFormat chart="42" format="136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6" count="1" selected="0">
            <x v="13"/>
          </reference>
        </references>
      </pivotArea>
    </chartFormat>
    <chartFormat chart="42" format="1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2" format="138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6" count="1" selected="0">
            <x v="4"/>
          </reference>
        </references>
      </pivotArea>
    </chartFormat>
    <chartFormat chart="42" format="1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42" format="140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6" count="1" selected="0">
            <x v="4"/>
          </reference>
        </references>
      </pivotArea>
    </chartFormat>
    <chartFormat chart="42" format="14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6" count="1" selected="0">
            <x v="13"/>
          </reference>
        </references>
      </pivotArea>
    </chartFormat>
    <chartFormat chart="42" format="14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"/>
          </reference>
        </references>
      </pivotArea>
    </chartFormat>
    <chartFormat chart="42" format="143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3"/>
          </reference>
        </references>
      </pivotArea>
    </chartFormat>
    <chartFormat chart="42" format="14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0F0A35-8FD6-4FD9-ACA1-576A35ACEF67}" name="Kontingenční tabulka1" cacheId="0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20">
  <location ref="B3:C17" firstHeaderRow="1" firstDataRow="1" firstDataCol="1"/>
  <pivotFields count="7">
    <pivotField dataField="1" showAll="0"/>
    <pivotField showAll="0"/>
    <pivotField axis="axisRow" numFmtId="164" showAll="0">
      <items count="134">
        <item x="55"/>
        <item x="7"/>
        <item x="56"/>
        <item x="53"/>
        <item x="2"/>
        <item x="110"/>
        <item x="62"/>
        <item x="86"/>
        <item x="0"/>
        <item x="115"/>
        <item x="103"/>
        <item x="54"/>
        <item x="17"/>
        <item x="100"/>
        <item x="64"/>
        <item x="13"/>
        <item x="101"/>
        <item x="85"/>
        <item x="75"/>
        <item x="3"/>
        <item x="113"/>
        <item x="51"/>
        <item x="120"/>
        <item x="106"/>
        <item x="31"/>
        <item x="36"/>
        <item x="129"/>
        <item x="118"/>
        <item x="19"/>
        <item x="127"/>
        <item x="111"/>
        <item x="126"/>
        <item x="43"/>
        <item x="23"/>
        <item x="81"/>
        <item x="76"/>
        <item x="123"/>
        <item x="107"/>
        <item x="58"/>
        <item x="83"/>
        <item x="65"/>
        <item x="104"/>
        <item x="42"/>
        <item x="14"/>
        <item x="63"/>
        <item x="32"/>
        <item x="94"/>
        <item x="69"/>
        <item x="39"/>
        <item x="98"/>
        <item x="45"/>
        <item x="105"/>
        <item x="70"/>
        <item x="108"/>
        <item x="21"/>
        <item x="5"/>
        <item x="91"/>
        <item x="4"/>
        <item x="6"/>
        <item x="38"/>
        <item x="8"/>
        <item x="48"/>
        <item x="130"/>
        <item x="46"/>
        <item x="73"/>
        <item x="26"/>
        <item x="20"/>
        <item x="87"/>
        <item x="27"/>
        <item x="33"/>
        <item x="97"/>
        <item x="15"/>
        <item x="18"/>
        <item x="117"/>
        <item x="125"/>
        <item x="78"/>
        <item x="60"/>
        <item x="96"/>
        <item x="37"/>
        <item x="72"/>
        <item x="67"/>
        <item x="88"/>
        <item x="95"/>
        <item x="24"/>
        <item x="82"/>
        <item x="124"/>
        <item x="9"/>
        <item x="28"/>
        <item x="66"/>
        <item x="79"/>
        <item x="89"/>
        <item x="92"/>
        <item x="29"/>
        <item x="50"/>
        <item x="112"/>
        <item x="68"/>
        <item x="52"/>
        <item x="49"/>
        <item x="77"/>
        <item x="30"/>
        <item x="22"/>
        <item x="1"/>
        <item x="11"/>
        <item x="59"/>
        <item x="102"/>
        <item x="122"/>
        <item x="10"/>
        <item x="84"/>
        <item x="41"/>
        <item x="34"/>
        <item x="47"/>
        <item x="16"/>
        <item x="90"/>
        <item x="80"/>
        <item x="128"/>
        <item x="12"/>
        <item x="25"/>
        <item x="40"/>
        <item x="61"/>
        <item x="44"/>
        <item x="114"/>
        <item x="99"/>
        <item x="119"/>
        <item x="116"/>
        <item x="74"/>
        <item x="35"/>
        <item x="109"/>
        <item x="57"/>
        <item x="121"/>
        <item x="71"/>
        <item x="93"/>
        <item x="131"/>
        <item x="132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Row" showAll="0">
      <items count="1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t="default" sd="0"/>
      </items>
    </pivotField>
  </pivotFields>
  <rowFields count="4">
    <field x="6"/>
    <field x="5"/>
    <field x="4"/>
    <field x="2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Počet z ID" fld="0" subtotal="count" baseField="6" baseItem="1"/>
  </dataFields>
  <chartFormats count="3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15A4BC-6BD3-4DC2-A2D5-5B99CD6B55C7}" name="Tabulka1" displayName="Tabulka1" ref="B2:E567" totalsRowShown="0">
  <autoFilter ref="B2:E567" xr:uid="{6515A4BC-6BD3-4DC2-A2D5-5B99CD6B55C7}"/>
  <sortState xmlns:xlrd2="http://schemas.microsoft.com/office/spreadsheetml/2017/richdata2" ref="B3:E525">
    <sortCondition ref="B2:B525"/>
  </sortState>
  <tableColumns count="4">
    <tableColumn id="1" xr3:uid="{C40355E2-6F3F-420C-8A49-E93F5824DC45}" name="ID"/>
    <tableColumn id="2" xr3:uid="{4E1C0335-774D-4616-BA08-05FCC88EF150}" name="OŘ" dataDxfId="2"/>
    <tableColumn id="4" xr3:uid="{76569EC3-1F49-488A-A99C-893A861BDFB2}" name="v ADP" dataDxfId="1"/>
    <tableColumn id="5" xr3:uid="{C6B5F988-F45F-475B-884F-73F52AC913FC}" name="funk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705B2D-2EA7-478C-982B-6D129CB26D2D}" name="Tabulka2" displayName="Tabulka2" ref="F23:P36" totalsRowShown="0">
  <autoFilter ref="F23:P36" xr:uid="{77705B2D-2EA7-478C-982B-6D129CB26D2D}"/>
  <tableColumns count="11">
    <tableColumn id="1" xr3:uid="{DA152933-AE7C-44B0-8892-DAE36E43266B}" name="Rok"/>
    <tableColumn id="2" xr3:uid="{31912670-86A7-4C19-A2A3-46F625E7221A}" name="Počet členů celkem"/>
    <tableColumn id="3" xr3:uid="{F8FB20E6-097A-403A-B7D3-7FED2ED19471}" name="CDP Praha"/>
    <tableColumn id="4" xr3:uid="{7644DBA7-BC01-4A83-A1A2-630AB6A8E624}" name="CDP Přerov"/>
    <tableColumn id="5" xr3:uid="{A602ABCE-2985-41FA-A29C-5616C7180B11}" name="GŘ"/>
    <tableColumn id="6" xr3:uid="{E9184DED-D36B-46BF-99E8-E20B97E62C87}" name="OŘ Brno"/>
    <tableColumn id="7" xr3:uid="{C07FA920-5AB5-446E-B63E-8EBBEE94E273}" name="OŘ Hr.Králové"/>
    <tableColumn id="8" xr3:uid="{C51DFD67-FE04-4BC3-891F-669E1637431B}" name="OŘ Ostrava"/>
    <tableColumn id="9" xr3:uid="{EB1C1589-71AA-42E5-AA0A-1D17ACE124C2}" name="OŘ Plzeň"/>
    <tableColumn id="10" xr3:uid="{F7056656-9E6D-4C7B-B388-4448E6D106EA}" name="OŘ Praha"/>
    <tableColumn id="11" xr3:uid="{B8377130-F06C-4ED4-A857-CF763871F78B}" name="OŘ Ústí n.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5D442C-3678-4AD8-9F04-A6A6392B9058}" name="Tabulka27" displayName="Tabulka27" ref="F41:P54" totalsRowShown="0">
  <autoFilter ref="F41:P54" xr:uid="{175D442C-3678-4AD8-9F04-A6A6392B9058}"/>
  <sortState xmlns:xlrd2="http://schemas.microsoft.com/office/spreadsheetml/2017/richdata2" ref="F42:P54">
    <sortCondition ref="F42:F54"/>
  </sortState>
  <tableColumns count="11">
    <tableColumn id="1" xr3:uid="{664231A2-8E75-4CAA-ABEB-AB11DDD8A981}" name="Rok"/>
    <tableColumn id="2" xr3:uid="{9CB18161-C684-4887-8E7D-4283F4B8318C}" name="Počet členů celkem"/>
    <tableColumn id="3" xr3:uid="{3FF01701-EBCD-44F9-A17F-7941810BBFF3}" name="CDP Praha" dataDxfId="0">
      <calculatedColumnFormula>H24/$G42*100</calculatedColumnFormula>
    </tableColumn>
    <tableColumn id="4" xr3:uid="{E0D0EA8B-C591-4613-AD5A-313864CE638E}" name="CDP Přerov"/>
    <tableColumn id="5" xr3:uid="{7E85D625-797F-4B07-A21B-76C4B285B66D}" name="GŘ"/>
    <tableColumn id="6" xr3:uid="{AF788C51-E75E-4B2D-8ED4-EBF03845D7E7}" name="OŘ Brno"/>
    <tableColumn id="7" xr3:uid="{AF998AE4-75CC-4BEC-B024-323403526403}" name="OŘ Hr.Králové"/>
    <tableColumn id="8" xr3:uid="{E91C40DD-659A-4741-A0A1-B901098E31EA}" name="OŘ Ostrava"/>
    <tableColumn id="9" xr3:uid="{E893D649-F1AC-4726-808D-8A37509B6506}" name="OŘ Plzeň"/>
    <tableColumn id="10" xr3:uid="{26D8F472-9E75-4C73-84B6-2C6E4D4C7F03}" name="OŘ Praha"/>
    <tableColumn id="11" xr3:uid="{0DB4A1BE-4F2C-4178-BC7F-4629F34C40FC}" name="OŘ Ústí n.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670C0-39F0-4343-AF60-04AD44DA27D1}">
  <dimension ref="B2:E567"/>
  <sheetViews>
    <sheetView topLeftCell="A10" workbookViewId="0">
      <selection activeCell="D527" sqref="D527:D567"/>
    </sheetView>
  </sheetViews>
  <sheetFormatPr defaultRowHeight="15" x14ac:dyDescent="0.25"/>
  <cols>
    <col min="1" max="1" width="2.85546875" customWidth="1"/>
    <col min="3" max="3" width="14" customWidth="1"/>
    <col min="4" max="4" width="17.7109375" customWidth="1"/>
    <col min="5" max="5" width="16.140625" customWidth="1"/>
    <col min="7" max="7" width="10.5703125" bestFit="1" customWidth="1"/>
  </cols>
  <sheetData>
    <row r="2" spans="2:5" x14ac:dyDescent="0.25">
      <c r="B2" t="s">
        <v>38</v>
      </c>
      <c r="C2" s="1" t="s">
        <v>0</v>
      </c>
      <c r="D2" t="s">
        <v>1</v>
      </c>
      <c r="E2" t="s">
        <v>2</v>
      </c>
    </row>
    <row r="3" spans="2:5" x14ac:dyDescent="0.25">
      <c r="B3">
        <v>1</v>
      </c>
      <c r="C3" s="2" t="s">
        <v>8</v>
      </c>
      <c r="D3" s="1">
        <v>41548</v>
      </c>
      <c r="E3" t="s">
        <v>4</v>
      </c>
    </row>
    <row r="4" spans="2:5" x14ac:dyDescent="0.25">
      <c r="B4">
        <v>2</v>
      </c>
      <c r="C4" s="2" t="s">
        <v>5</v>
      </c>
      <c r="D4" s="1">
        <v>44866</v>
      </c>
      <c r="E4" t="s">
        <v>6</v>
      </c>
    </row>
    <row r="5" spans="2:5" x14ac:dyDescent="0.25">
      <c r="B5">
        <v>3</v>
      </c>
      <c r="C5" s="2" t="s">
        <v>5</v>
      </c>
      <c r="D5" s="1">
        <v>44866</v>
      </c>
      <c r="E5" t="s">
        <v>6</v>
      </c>
    </row>
    <row r="6" spans="2:5" x14ac:dyDescent="0.25">
      <c r="B6">
        <v>4</v>
      </c>
      <c r="C6" s="2" t="s">
        <v>8</v>
      </c>
      <c r="D6" s="1">
        <v>41440</v>
      </c>
      <c r="E6" t="s">
        <v>4</v>
      </c>
    </row>
    <row r="7" spans="2:5" x14ac:dyDescent="0.25">
      <c r="B7">
        <v>5</v>
      </c>
      <c r="C7" s="2" t="s">
        <v>7</v>
      </c>
      <c r="D7" s="1">
        <v>41760</v>
      </c>
      <c r="E7" t="s">
        <v>4</v>
      </c>
    </row>
    <row r="8" spans="2:5" x14ac:dyDescent="0.25">
      <c r="B8">
        <v>6</v>
      </c>
      <c r="C8" s="2" t="s">
        <v>8</v>
      </c>
      <c r="D8" s="1">
        <v>43435</v>
      </c>
      <c r="E8" t="s">
        <v>6</v>
      </c>
    </row>
    <row r="9" spans="2:5" x14ac:dyDescent="0.25">
      <c r="B9">
        <v>7</v>
      </c>
      <c r="C9" s="2" t="s">
        <v>9</v>
      </c>
      <c r="D9" s="1">
        <v>43405</v>
      </c>
      <c r="E9" t="s">
        <v>6</v>
      </c>
    </row>
    <row r="10" spans="2:5" x14ac:dyDescent="0.25">
      <c r="B10">
        <v>8</v>
      </c>
      <c r="C10" s="2" t="s">
        <v>9</v>
      </c>
      <c r="D10" s="1">
        <v>43466</v>
      </c>
      <c r="E10" t="s">
        <v>6</v>
      </c>
    </row>
    <row r="11" spans="2:5" x14ac:dyDescent="0.25">
      <c r="B11">
        <v>9</v>
      </c>
      <c r="C11" s="2" t="s">
        <v>8</v>
      </c>
      <c r="D11" s="1">
        <v>41365</v>
      </c>
      <c r="E11" t="s">
        <v>6</v>
      </c>
    </row>
    <row r="12" spans="2:5" x14ac:dyDescent="0.25">
      <c r="B12">
        <v>10</v>
      </c>
      <c r="C12" s="2" t="s">
        <v>8</v>
      </c>
      <c r="D12" s="1">
        <v>43525</v>
      </c>
      <c r="E12" t="s">
        <v>6</v>
      </c>
    </row>
    <row r="13" spans="2:5" x14ac:dyDescent="0.25">
      <c r="B13">
        <v>11</v>
      </c>
      <c r="C13" s="2" t="s">
        <v>3</v>
      </c>
      <c r="D13" s="1">
        <v>44440</v>
      </c>
      <c r="E13" t="s">
        <v>10</v>
      </c>
    </row>
    <row r="14" spans="2:5" x14ac:dyDescent="0.25">
      <c r="B14">
        <v>12</v>
      </c>
      <c r="C14" s="2" t="s">
        <v>3</v>
      </c>
      <c r="D14" s="1">
        <v>44986</v>
      </c>
      <c r="E14" t="s">
        <v>10</v>
      </c>
    </row>
    <row r="15" spans="2:5" x14ac:dyDescent="0.25">
      <c r="B15">
        <v>13</v>
      </c>
      <c r="C15" s="2" t="s">
        <v>8</v>
      </c>
      <c r="D15" s="1">
        <v>41365</v>
      </c>
      <c r="E15" t="s">
        <v>6</v>
      </c>
    </row>
    <row r="16" spans="2:5" x14ac:dyDescent="0.25">
      <c r="B16">
        <v>14</v>
      </c>
      <c r="C16" s="2" t="s">
        <v>5</v>
      </c>
      <c r="D16" s="1">
        <v>44896</v>
      </c>
      <c r="E16" t="s">
        <v>11</v>
      </c>
    </row>
    <row r="17" spans="2:5" x14ac:dyDescent="0.25">
      <c r="B17">
        <v>15</v>
      </c>
      <c r="C17" s="2" t="s">
        <v>12</v>
      </c>
      <c r="D17" s="1">
        <v>45231</v>
      </c>
      <c r="E17" t="s">
        <v>11</v>
      </c>
    </row>
    <row r="18" spans="2:5" x14ac:dyDescent="0.25">
      <c r="B18">
        <v>16</v>
      </c>
      <c r="C18" s="2" t="s">
        <v>9</v>
      </c>
      <c r="D18" s="1">
        <v>41717</v>
      </c>
      <c r="E18" t="s">
        <v>11</v>
      </c>
    </row>
    <row r="19" spans="2:5" x14ac:dyDescent="0.25">
      <c r="B19">
        <v>17</v>
      </c>
      <c r="C19" s="2" t="s">
        <v>3</v>
      </c>
      <c r="D19" s="1">
        <v>42979</v>
      </c>
      <c r="E19" t="s">
        <v>13</v>
      </c>
    </row>
    <row r="20" spans="2:5" x14ac:dyDescent="0.25">
      <c r="B20">
        <v>18</v>
      </c>
      <c r="C20" s="2" t="s">
        <v>3</v>
      </c>
      <c r="D20" s="1">
        <v>43405</v>
      </c>
      <c r="E20" t="s">
        <v>6</v>
      </c>
    </row>
    <row r="21" spans="2:5" x14ac:dyDescent="0.25">
      <c r="B21">
        <v>19</v>
      </c>
      <c r="C21" s="2" t="s">
        <v>5</v>
      </c>
      <c r="D21" s="1">
        <v>43922</v>
      </c>
    </row>
    <row r="22" spans="2:5" x14ac:dyDescent="0.25">
      <c r="B22">
        <v>20</v>
      </c>
      <c r="C22" s="2" t="s">
        <v>5</v>
      </c>
      <c r="D22" s="1">
        <v>45139</v>
      </c>
      <c r="E22" t="s">
        <v>14</v>
      </c>
    </row>
    <row r="23" spans="2:5" x14ac:dyDescent="0.25">
      <c r="B23">
        <v>21</v>
      </c>
      <c r="C23" s="2" t="s">
        <v>5</v>
      </c>
      <c r="D23" s="1">
        <v>41671</v>
      </c>
      <c r="E23" t="s">
        <v>10</v>
      </c>
    </row>
    <row r="24" spans="2:5" x14ac:dyDescent="0.25">
      <c r="B24">
        <v>22</v>
      </c>
      <c r="C24" s="2" t="s">
        <v>5</v>
      </c>
      <c r="D24" s="1">
        <v>43952</v>
      </c>
      <c r="E24" t="s">
        <v>10</v>
      </c>
    </row>
    <row r="25" spans="2:5" x14ac:dyDescent="0.25">
      <c r="B25">
        <v>23</v>
      </c>
      <c r="C25" s="2" t="s">
        <v>9</v>
      </c>
      <c r="D25" s="1">
        <v>43466</v>
      </c>
      <c r="E25" t="s">
        <v>6</v>
      </c>
    </row>
    <row r="26" spans="2:5" x14ac:dyDescent="0.25">
      <c r="B26">
        <v>24</v>
      </c>
      <c r="C26" s="2" t="s">
        <v>5</v>
      </c>
      <c r="D26" s="1">
        <v>41365</v>
      </c>
      <c r="E26" t="s">
        <v>6</v>
      </c>
    </row>
    <row r="27" spans="2:5" x14ac:dyDescent="0.25">
      <c r="B27">
        <v>25</v>
      </c>
      <c r="C27" s="2" t="s">
        <v>8</v>
      </c>
      <c r="D27" s="1">
        <v>42186</v>
      </c>
    </row>
    <row r="28" spans="2:5" x14ac:dyDescent="0.25">
      <c r="B28">
        <v>26</v>
      </c>
      <c r="C28" s="2" t="s">
        <v>8</v>
      </c>
      <c r="D28" s="1">
        <v>41365</v>
      </c>
      <c r="E28" t="s">
        <v>10</v>
      </c>
    </row>
    <row r="29" spans="2:5" x14ac:dyDescent="0.25">
      <c r="B29">
        <v>27</v>
      </c>
      <c r="C29" s="2" t="s">
        <v>5</v>
      </c>
      <c r="D29" s="1">
        <v>43770</v>
      </c>
      <c r="E29" t="s">
        <v>11</v>
      </c>
    </row>
    <row r="30" spans="2:5" x14ac:dyDescent="0.25">
      <c r="B30">
        <v>28</v>
      </c>
      <c r="C30" s="2" t="s">
        <v>8</v>
      </c>
      <c r="D30" s="1">
        <v>41365</v>
      </c>
      <c r="E30" t="s">
        <v>6</v>
      </c>
    </row>
    <row r="31" spans="2:5" x14ac:dyDescent="0.25">
      <c r="B31">
        <v>29</v>
      </c>
      <c r="C31" s="2" t="s">
        <v>12</v>
      </c>
      <c r="D31" s="1">
        <v>43374</v>
      </c>
    </row>
    <row r="32" spans="2:5" x14ac:dyDescent="0.25">
      <c r="B32">
        <v>30</v>
      </c>
      <c r="C32" s="2" t="s">
        <v>12</v>
      </c>
      <c r="D32" s="1">
        <v>44835</v>
      </c>
      <c r="E32" t="s">
        <v>15</v>
      </c>
    </row>
    <row r="33" spans="2:5" x14ac:dyDescent="0.25">
      <c r="B33">
        <v>31</v>
      </c>
      <c r="C33" s="2" t="s">
        <v>8</v>
      </c>
      <c r="D33" s="1">
        <v>42379</v>
      </c>
    </row>
    <row r="34" spans="2:5" x14ac:dyDescent="0.25">
      <c r="B34">
        <v>32</v>
      </c>
      <c r="C34" s="2" t="s">
        <v>8</v>
      </c>
      <c r="D34" s="1">
        <v>44287</v>
      </c>
    </row>
    <row r="35" spans="2:5" x14ac:dyDescent="0.25">
      <c r="B35">
        <v>33</v>
      </c>
      <c r="C35" s="2" t="s">
        <v>9</v>
      </c>
      <c r="D35" s="1">
        <v>45231</v>
      </c>
      <c r="E35" t="s">
        <v>6</v>
      </c>
    </row>
    <row r="36" spans="2:5" x14ac:dyDescent="0.25">
      <c r="B36">
        <v>34</v>
      </c>
      <c r="C36" s="2" t="s">
        <v>16</v>
      </c>
      <c r="D36" s="1">
        <v>45261</v>
      </c>
      <c r="E36" t="s">
        <v>6</v>
      </c>
    </row>
    <row r="37" spans="2:5" x14ac:dyDescent="0.25">
      <c r="B37">
        <v>35</v>
      </c>
      <c r="C37" s="2" t="s">
        <v>8</v>
      </c>
      <c r="D37" s="1">
        <v>41365</v>
      </c>
      <c r="E37" t="s">
        <v>13</v>
      </c>
    </row>
    <row r="38" spans="2:5" x14ac:dyDescent="0.25">
      <c r="B38">
        <v>36</v>
      </c>
      <c r="C38" s="2" t="s">
        <v>9</v>
      </c>
      <c r="D38" s="1">
        <v>43739</v>
      </c>
      <c r="E38" t="s">
        <v>11</v>
      </c>
    </row>
    <row r="39" spans="2:5" x14ac:dyDescent="0.25">
      <c r="B39">
        <v>37</v>
      </c>
      <c r="C39" s="2" t="s">
        <v>12</v>
      </c>
      <c r="D39" s="1">
        <v>43831</v>
      </c>
      <c r="E39" t="s">
        <v>6</v>
      </c>
    </row>
    <row r="40" spans="2:5" x14ac:dyDescent="0.25">
      <c r="B40">
        <v>38</v>
      </c>
      <c r="C40" s="2" t="s">
        <v>8</v>
      </c>
      <c r="D40" s="1">
        <v>41365</v>
      </c>
    </row>
    <row r="41" spans="2:5" x14ac:dyDescent="0.25">
      <c r="B41">
        <v>39</v>
      </c>
      <c r="C41" s="2" t="s">
        <v>3</v>
      </c>
      <c r="D41" s="1">
        <v>43525</v>
      </c>
    </row>
    <row r="42" spans="2:5" x14ac:dyDescent="0.25">
      <c r="B42">
        <v>40</v>
      </c>
      <c r="C42" s="2" t="s">
        <v>3</v>
      </c>
      <c r="D42" s="1">
        <v>44501</v>
      </c>
    </row>
    <row r="43" spans="2:5" x14ac:dyDescent="0.25">
      <c r="B43">
        <v>41</v>
      </c>
      <c r="C43" s="2" t="s">
        <v>17</v>
      </c>
      <c r="D43" s="1">
        <v>44646</v>
      </c>
      <c r="E43" t="s">
        <v>6</v>
      </c>
    </row>
    <row r="44" spans="2:5" x14ac:dyDescent="0.25">
      <c r="B44">
        <v>42</v>
      </c>
      <c r="C44" s="2" t="s">
        <v>16</v>
      </c>
      <c r="D44" s="1">
        <v>44805</v>
      </c>
      <c r="E44" t="s">
        <v>10</v>
      </c>
    </row>
    <row r="45" spans="2:5" x14ac:dyDescent="0.25">
      <c r="B45">
        <v>43</v>
      </c>
      <c r="C45" s="2" t="s">
        <v>16</v>
      </c>
      <c r="D45" s="1">
        <v>42036</v>
      </c>
      <c r="E45" t="s">
        <v>6</v>
      </c>
    </row>
    <row r="46" spans="2:5" x14ac:dyDescent="0.25">
      <c r="B46">
        <v>44</v>
      </c>
      <c r="C46" s="2" t="s">
        <v>8</v>
      </c>
      <c r="D46" s="1">
        <v>41365</v>
      </c>
      <c r="E46" t="s">
        <v>6</v>
      </c>
    </row>
    <row r="47" spans="2:5" x14ac:dyDescent="0.25">
      <c r="B47">
        <v>45</v>
      </c>
      <c r="C47" s="2" t="s">
        <v>16</v>
      </c>
      <c r="D47" s="1">
        <v>43040</v>
      </c>
      <c r="E47" t="s">
        <v>6</v>
      </c>
    </row>
    <row r="48" spans="2:5" x14ac:dyDescent="0.25">
      <c r="B48">
        <v>46</v>
      </c>
      <c r="C48" s="2" t="s">
        <v>5</v>
      </c>
      <c r="D48" s="1">
        <v>43862</v>
      </c>
      <c r="E48" t="s">
        <v>6</v>
      </c>
    </row>
    <row r="49" spans="2:5" x14ac:dyDescent="0.25">
      <c r="B49">
        <v>47</v>
      </c>
      <c r="C49" s="2" t="s">
        <v>5</v>
      </c>
      <c r="D49" s="1">
        <v>44287</v>
      </c>
      <c r="E49" t="s">
        <v>11</v>
      </c>
    </row>
    <row r="50" spans="2:5" x14ac:dyDescent="0.25">
      <c r="B50">
        <v>48</v>
      </c>
      <c r="C50" s="2" t="s">
        <v>16</v>
      </c>
      <c r="D50" s="1">
        <v>45103</v>
      </c>
      <c r="E50" t="s">
        <v>6</v>
      </c>
    </row>
    <row r="51" spans="2:5" x14ac:dyDescent="0.25">
      <c r="B51">
        <v>49</v>
      </c>
      <c r="C51" s="2" t="s">
        <v>16</v>
      </c>
      <c r="D51" s="1">
        <v>45566</v>
      </c>
      <c r="E51" t="s">
        <v>6</v>
      </c>
    </row>
    <row r="52" spans="2:5" x14ac:dyDescent="0.25">
      <c r="B52">
        <v>50</v>
      </c>
      <c r="C52" s="2" t="s">
        <v>8</v>
      </c>
      <c r="D52" s="1">
        <v>42064</v>
      </c>
      <c r="E52" t="s">
        <v>13</v>
      </c>
    </row>
    <row r="53" spans="2:5" x14ac:dyDescent="0.25">
      <c r="B53">
        <v>51</v>
      </c>
      <c r="C53" s="2" t="s">
        <v>17</v>
      </c>
      <c r="D53" s="1">
        <v>44136</v>
      </c>
      <c r="E53" t="s">
        <v>11</v>
      </c>
    </row>
    <row r="54" spans="2:5" x14ac:dyDescent="0.25">
      <c r="B54">
        <v>52</v>
      </c>
      <c r="C54" s="2" t="s">
        <v>9</v>
      </c>
      <c r="D54" s="1">
        <v>43497</v>
      </c>
      <c r="E54" t="s">
        <v>6</v>
      </c>
    </row>
    <row r="55" spans="2:5" x14ac:dyDescent="0.25">
      <c r="B55">
        <v>53</v>
      </c>
      <c r="C55" s="2" t="s">
        <v>8</v>
      </c>
      <c r="D55" s="1">
        <v>44136</v>
      </c>
      <c r="E55" t="s">
        <v>6</v>
      </c>
    </row>
    <row r="56" spans="2:5" x14ac:dyDescent="0.25">
      <c r="B56">
        <v>54</v>
      </c>
      <c r="C56" s="2" t="s">
        <v>9</v>
      </c>
      <c r="D56" s="1">
        <v>43132</v>
      </c>
      <c r="E56" t="s">
        <v>6</v>
      </c>
    </row>
    <row r="57" spans="2:5" x14ac:dyDescent="0.25">
      <c r="B57">
        <v>55</v>
      </c>
      <c r="C57" s="2" t="s">
        <v>9</v>
      </c>
      <c r="D57" s="1">
        <v>45292</v>
      </c>
      <c r="E57" t="s">
        <v>6</v>
      </c>
    </row>
    <row r="58" spans="2:5" x14ac:dyDescent="0.25">
      <c r="B58">
        <v>56</v>
      </c>
      <c r="C58" s="2" t="s">
        <v>5</v>
      </c>
      <c r="D58" s="1">
        <v>45047</v>
      </c>
      <c r="E58" t="s">
        <v>14</v>
      </c>
    </row>
    <row r="59" spans="2:5" x14ac:dyDescent="0.25">
      <c r="B59">
        <v>57</v>
      </c>
      <c r="C59" s="2" t="s">
        <v>3</v>
      </c>
      <c r="D59" s="1">
        <v>43466</v>
      </c>
    </row>
    <row r="60" spans="2:5" x14ac:dyDescent="0.25">
      <c r="B60">
        <v>58</v>
      </c>
      <c r="C60" s="2" t="s">
        <v>9</v>
      </c>
      <c r="D60" s="1">
        <v>45292</v>
      </c>
      <c r="E60" t="s">
        <v>11</v>
      </c>
    </row>
    <row r="61" spans="2:5" x14ac:dyDescent="0.25">
      <c r="B61">
        <v>59</v>
      </c>
      <c r="C61" s="2" t="s">
        <v>8</v>
      </c>
      <c r="D61" s="1">
        <v>42887</v>
      </c>
      <c r="E61" t="s">
        <v>18</v>
      </c>
    </row>
    <row r="62" spans="2:5" x14ac:dyDescent="0.25">
      <c r="B62">
        <v>60</v>
      </c>
      <c r="C62" s="2" t="s">
        <v>9</v>
      </c>
      <c r="D62" s="1">
        <v>42370</v>
      </c>
      <c r="E62" t="s">
        <v>6</v>
      </c>
    </row>
    <row r="63" spans="2:5" x14ac:dyDescent="0.25">
      <c r="B63">
        <v>61</v>
      </c>
      <c r="C63" s="2" t="s">
        <v>8</v>
      </c>
      <c r="D63" s="1">
        <v>45352</v>
      </c>
      <c r="E63" t="s">
        <v>11</v>
      </c>
    </row>
    <row r="64" spans="2:5" x14ac:dyDescent="0.25">
      <c r="B64">
        <v>62</v>
      </c>
      <c r="C64" s="2" t="s">
        <v>9</v>
      </c>
      <c r="D64" s="1">
        <v>43191</v>
      </c>
      <c r="E64" t="s">
        <v>6</v>
      </c>
    </row>
    <row r="65" spans="2:5" x14ac:dyDescent="0.25">
      <c r="B65">
        <v>63</v>
      </c>
      <c r="C65" s="2" t="s">
        <v>16</v>
      </c>
      <c r="D65" s="1">
        <v>43435</v>
      </c>
      <c r="E65" t="s">
        <v>6</v>
      </c>
    </row>
    <row r="66" spans="2:5" x14ac:dyDescent="0.25">
      <c r="B66">
        <v>64</v>
      </c>
      <c r="C66" s="2" t="s">
        <v>5</v>
      </c>
      <c r="D66" s="1">
        <v>41671</v>
      </c>
      <c r="E66" t="s">
        <v>11</v>
      </c>
    </row>
    <row r="67" spans="2:5" x14ac:dyDescent="0.25">
      <c r="B67">
        <v>65</v>
      </c>
      <c r="C67" s="2" t="s">
        <v>8</v>
      </c>
      <c r="D67" s="1">
        <v>45231</v>
      </c>
      <c r="E67" t="s">
        <v>6</v>
      </c>
    </row>
    <row r="68" spans="2:5" x14ac:dyDescent="0.25">
      <c r="B68">
        <v>66</v>
      </c>
      <c r="C68" s="2" t="s">
        <v>5</v>
      </c>
      <c r="D68" s="1">
        <v>45292</v>
      </c>
    </row>
    <row r="69" spans="2:5" x14ac:dyDescent="0.25">
      <c r="B69">
        <v>67</v>
      </c>
      <c r="C69" s="2" t="s">
        <v>8</v>
      </c>
      <c r="D69" s="1">
        <v>43497</v>
      </c>
      <c r="E69" t="s">
        <v>6</v>
      </c>
    </row>
    <row r="70" spans="2:5" x14ac:dyDescent="0.25">
      <c r="B70">
        <v>68</v>
      </c>
      <c r="C70" s="2" t="s">
        <v>5</v>
      </c>
      <c r="D70" s="1">
        <v>43647</v>
      </c>
      <c r="E70" t="s">
        <v>11</v>
      </c>
    </row>
    <row r="71" spans="2:5" x14ac:dyDescent="0.25">
      <c r="B71">
        <v>69</v>
      </c>
      <c r="C71" s="2" t="s">
        <v>8</v>
      </c>
      <c r="D71" s="1">
        <v>44287</v>
      </c>
      <c r="E71" t="s">
        <v>19</v>
      </c>
    </row>
    <row r="72" spans="2:5" x14ac:dyDescent="0.25">
      <c r="B72">
        <v>70</v>
      </c>
      <c r="C72" s="2" t="s">
        <v>16</v>
      </c>
      <c r="D72" s="1">
        <v>45108</v>
      </c>
      <c r="E72" t="s">
        <v>11</v>
      </c>
    </row>
    <row r="73" spans="2:5" x14ac:dyDescent="0.25">
      <c r="B73">
        <v>71</v>
      </c>
      <c r="C73" s="2" t="s">
        <v>3</v>
      </c>
      <c r="D73" s="1">
        <v>44440</v>
      </c>
      <c r="E73" t="s">
        <v>10</v>
      </c>
    </row>
    <row r="74" spans="2:5" x14ac:dyDescent="0.25">
      <c r="B74">
        <v>72</v>
      </c>
      <c r="C74" s="2" t="s">
        <v>5</v>
      </c>
      <c r="D74" s="1">
        <v>41365</v>
      </c>
      <c r="E74" t="s">
        <v>6</v>
      </c>
    </row>
    <row r="75" spans="2:5" x14ac:dyDescent="0.25">
      <c r="B75">
        <v>73</v>
      </c>
      <c r="C75" s="2" t="s">
        <v>9</v>
      </c>
      <c r="D75" s="1">
        <v>43556</v>
      </c>
      <c r="E75" t="s">
        <v>6</v>
      </c>
    </row>
    <row r="76" spans="2:5" x14ac:dyDescent="0.25">
      <c r="B76">
        <v>74</v>
      </c>
      <c r="C76" s="2" t="s">
        <v>8</v>
      </c>
      <c r="D76" s="1">
        <v>41365</v>
      </c>
      <c r="E76" t="s">
        <v>6</v>
      </c>
    </row>
    <row r="77" spans="2:5" x14ac:dyDescent="0.25">
      <c r="B77">
        <v>75</v>
      </c>
      <c r="C77" s="2" t="s">
        <v>9</v>
      </c>
      <c r="D77" s="1">
        <v>44713</v>
      </c>
      <c r="E77" t="s">
        <v>14</v>
      </c>
    </row>
    <row r="78" spans="2:5" x14ac:dyDescent="0.25">
      <c r="B78">
        <v>76</v>
      </c>
      <c r="C78" s="2" t="s">
        <v>5</v>
      </c>
      <c r="D78" s="1">
        <v>44652</v>
      </c>
      <c r="E78" t="s">
        <v>14</v>
      </c>
    </row>
    <row r="79" spans="2:5" x14ac:dyDescent="0.25">
      <c r="B79">
        <v>77</v>
      </c>
      <c r="C79" s="2" t="s">
        <v>5</v>
      </c>
      <c r="D79" s="1">
        <v>41365</v>
      </c>
      <c r="E79" t="s">
        <v>6</v>
      </c>
    </row>
    <row r="80" spans="2:5" x14ac:dyDescent="0.25">
      <c r="B80">
        <v>78</v>
      </c>
      <c r="C80" s="2" t="s">
        <v>9</v>
      </c>
      <c r="D80" s="1">
        <v>41852</v>
      </c>
      <c r="E80" t="s">
        <v>6</v>
      </c>
    </row>
    <row r="81" spans="2:5" x14ac:dyDescent="0.25">
      <c r="B81">
        <v>79</v>
      </c>
      <c r="C81" s="2" t="s">
        <v>17</v>
      </c>
      <c r="D81" s="1">
        <v>44696</v>
      </c>
      <c r="E81" t="s">
        <v>6</v>
      </c>
    </row>
    <row r="82" spans="2:5" x14ac:dyDescent="0.25">
      <c r="B82">
        <v>80</v>
      </c>
      <c r="C82" s="2" t="s">
        <v>8</v>
      </c>
      <c r="D82" s="1">
        <v>43405</v>
      </c>
      <c r="E82" t="s">
        <v>6</v>
      </c>
    </row>
    <row r="83" spans="2:5" x14ac:dyDescent="0.25">
      <c r="B83">
        <v>81</v>
      </c>
      <c r="C83" s="2" t="s">
        <v>8</v>
      </c>
      <c r="D83" s="1">
        <v>41365</v>
      </c>
      <c r="E83" t="s">
        <v>6</v>
      </c>
    </row>
    <row r="84" spans="2:5" x14ac:dyDescent="0.25">
      <c r="B84">
        <v>82</v>
      </c>
      <c r="C84" s="2" t="s">
        <v>5</v>
      </c>
      <c r="D84" s="1">
        <v>45261</v>
      </c>
      <c r="E84" t="s">
        <v>6</v>
      </c>
    </row>
    <row r="85" spans="2:5" x14ac:dyDescent="0.25">
      <c r="B85">
        <v>83</v>
      </c>
      <c r="C85" s="2" t="s">
        <v>5</v>
      </c>
      <c r="D85" s="1">
        <v>43435</v>
      </c>
      <c r="E85" t="s">
        <v>6</v>
      </c>
    </row>
    <row r="86" spans="2:5" x14ac:dyDescent="0.25">
      <c r="B86">
        <v>84</v>
      </c>
      <c r="C86" s="2" t="s">
        <v>8</v>
      </c>
      <c r="D86" s="1">
        <v>41426</v>
      </c>
      <c r="E86" t="s">
        <v>6</v>
      </c>
    </row>
    <row r="87" spans="2:5" x14ac:dyDescent="0.25">
      <c r="B87">
        <v>85</v>
      </c>
      <c r="C87" s="2" t="s">
        <v>8</v>
      </c>
      <c r="D87" s="1">
        <v>41640</v>
      </c>
      <c r="E87" t="s">
        <v>6</v>
      </c>
    </row>
    <row r="88" spans="2:5" x14ac:dyDescent="0.25">
      <c r="B88">
        <v>86</v>
      </c>
      <c r="C88" s="2" t="s">
        <v>5</v>
      </c>
      <c r="D88" s="1">
        <v>45047</v>
      </c>
      <c r="E88" t="s">
        <v>11</v>
      </c>
    </row>
    <row r="89" spans="2:5" x14ac:dyDescent="0.25">
      <c r="B89">
        <v>87</v>
      </c>
      <c r="C89" s="2" t="s">
        <v>8</v>
      </c>
      <c r="D89" s="1">
        <v>41348</v>
      </c>
      <c r="E89" t="s">
        <v>4</v>
      </c>
    </row>
    <row r="90" spans="2:5" x14ac:dyDescent="0.25">
      <c r="B90">
        <v>88</v>
      </c>
      <c r="C90" s="2" t="s">
        <v>28</v>
      </c>
      <c r="D90" s="1">
        <v>41365</v>
      </c>
    </row>
    <row r="91" spans="2:5" x14ac:dyDescent="0.25">
      <c r="B91">
        <v>89</v>
      </c>
      <c r="C91" s="2" t="s">
        <v>3</v>
      </c>
      <c r="D91" s="1">
        <v>42979</v>
      </c>
      <c r="E91" t="s">
        <v>13</v>
      </c>
    </row>
    <row r="92" spans="2:5" x14ac:dyDescent="0.25">
      <c r="B92">
        <v>90</v>
      </c>
      <c r="C92" s="2" t="s">
        <v>8</v>
      </c>
      <c r="D92" s="1">
        <v>41395</v>
      </c>
      <c r="E92" t="s">
        <v>11</v>
      </c>
    </row>
    <row r="93" spans="2:5" x14ac:dyDescent="0.25">
      <c r="B93">
        <v>91</v>
      </c>
      <c r="C93" s="2" t="s">
        <v>5</v>
      </c>
      <c r="D93" s="1">
        <v>44896</v>
      </c>
      <c r="E93" t="s">
        <v>6</v>
      </c>
    </row>
    <row r="94" spans="2:5" x14ac:dyDescent="0.25">
      <c r="B94">
        <v>92</v>
      </c>
      <c r="C94" s="2" t="s">
        <v>3</v>
      </c>
      <c r="D94" s="1">
        <v>45597</v>
      </c>
      <c r="E94" t="s">
        <v>13</v>
      </c>
    </row>
    <row r="95" spans="2:5" x14ac:dyDescent="0.25">
      <c r="B95">
        <v>93</v>
      </c>
      <c r="C95" s="2" t="s">
        <v>7</v>
      </c>
      <c r="D95" s="1">
        <v>43435</v>
      </c>
      <c r="E95" t="s">
        <v>6</v>
      </c>
    </row>
    <row r="96" spans="2:5" x14ac:dyDescent="0.25">
      <c r="B96">
        <v>94</v>
      </c>
      <c r="C96" s="2" t="s">
        <v>8</v>
      </c>
      <c r="D96" s="1">
        <v>41348</v>
      </c>
      <c r="E96" t="s">
        <v>6</v>
      </c>
    </row>
    <row r="97" spans="2:5" x14ac:dyDescent="0.25">
      <c r="B97">
        <v>95</v>
      </c>
      <c r="C97" s="2" t="s">
        <v>8</v>
      </c>
      <c r="D97" s="1">
        <v>42767</v>
      </c>
      <c r="E97" t="s">
        <v>6</v>
      </c>
    </row>
    <row r="98" spans="2:5" x14ac:dyDescent="0.25">
      <c r="B98">
        <v>96</v>
      </c>
      <c r="C98" s="2" t="s">
        <v>17</v>
      </c>
      <c r="D98" s="1">
        <v>44927</v>
      </c>
      <c r="E98" t="s">
        <v>6</v>
      </c>
    </row>
    <row r="99" spans="2:5" x14ac:dyDescent="0.25">
      <c r="B99">
        <v>97</v>
      </c>
      <c r="C99" s="2" t="s">
        <v>8</v>
      </c>
      <c r="D99" s="1">
        <v>41348</v>
      </c>
      <c r="E99" t="s">
        <v>20</v>
      </c>
    </row>
    <row r="100" spans="2:5" x14ac:dyDescent="0.25">
      <c r="B100">
        <v>98</v>
      </c>
      <c r="C100" s="2" t="s">
        <v>7</v>
      </c>
      <c r="D100" s="1">
        <v>44075</v>
      </c>
      <c r="E100" t="s">
        <v>13</v>
      </c>
    </row>
    <row r="101" spans="2:5" x14ac:dyDescent="0.25">
      <c r="B101">
        <v>99</v>
      </c>
      <c r="C101" s="2" t="s">
        <v>16</v>
      </c>
      <c r="D101" s="1">
        <v>41365</v>
      </c>
      <c r="E101" t="s">
        <v>6</v>
      </c>
    </row>
    <row r="102" spans="2:5" x14ac:dyDescent="0.25">
      <c r="B102">
        <v>100</v>
      </c>
      <c r="C102" s="2" t="s">
        <v>16</v>
      </c>
      <c r="D102" s="1">
        <v>45323</v>
      </c>
      <c r="E102" t="s">
        <v>6</v>
      </c>
    </row>
    <row r="103" spans="2:5" x14ac:dyDescent="0.25">
      <c r="B103">
        <v>101</v>
      </c>
      <c r="C103" s="2" t="s">
        <v>16</v>
      </c>
      <c r="D103" s="1">
        <v>41487</v>
      </c>
      <c r="E103" t="s">
        <v>21</v>
      </c>
    </row>
    <row r="104" spans="2:5" x14ac:dyDescent="0.25">
      <c r="B104">
        <v>102</v>
      </c>
      <c r="C104" s="2" t="s">
        <v>9</v>
      </c>
      <c r="D104" s="1">
        <v>44713</v>
      </c>
      <c r="E104" t="s">
        <v>6</v>
      </c>
    </row>
    <row r="105" spans="2:5" x14ac:dyDescent="0.25">
      <c r="B105">
        <v>103</v>
      </c>
      <c r="C105" s="2" t="s">
        <v>9</v>
      </c>
      <c r="D105" s="1">
        <v>42370</v>
      </c>
      <c r="E105" t="s">
        <v>11</v>
      </c>
    </row>
    <row r="106" spans="2:5" x14ac:dyDescent="0.25">
      <c r="B106">
        <v>104</v>
      </c>
      <c r="C106" s="2" t="s">
        <v>9</v>
      </c>
      <c r="D106" s="1">
        <v>43831</v>
      </c>
      <c r="E106" t="s">
        <v>22</v>
      </c>
    </row>
    <row r="107" spans="2:5" x14ac:dyDescent="0.25">
      <c r="B107">
        <v>105</v>
      </c>
      <c r="C107" s="2" t="s">
        <v>5</v>
      </c>
      <c r="D107" s="1">
        <v>45139</v>
      </c>
      <c r="E107" t="s">
        <v>6</v>
      </c>
    </row>
    <row r="108" spans="2:5" x14ac:dyDescent="0.25">
      <c r="B108">
        <v>106</v>
      </c>
      <c r="C108" s="2" t="s">
        <v>9</v>
      </c>
      <c r="D108" s="1">
        <v>43374</v>
      </c>
      <c r="E108" t="s">
        <v>6</v>
      </c>
    </row>
    <row r="109" spans="2:5" x14ac:dyDescent="0.25">
      <c r="B109">
        <v>107</v>
      </c>
      <c r="C109" s="2" t="s">
        <v>8</v>
      </c>
      <c r="D109" s="1">
        <v>41348</v>
      </c>
      <c r="E109" t="s">
        <v>13</v>
      </c>
    </row>
    <row r="110" spans="2:5" x14ac:dyDescent="0.25">
      <c r="B110">
        <v>108</v>
      </c>
      <c r="C110" s="2" t="s">
        <v>5</v>
      </c>
      <c r="D110" s="1">
        <v>43405</v>
      </c>
      <c r="E110" t="s">
        <v>6</v>
      </c>
    </row>
    <row r="111" spans="2:5" x14ac:dyDescent="0.25">
      <c r="B111">
        <v>109</v>
      </c>
      <c r="C111" s="2" t="s">
        <v>5</v>
      </c>
      <c r="D111" s="1">
        <v>41365</v>
      </c>
      <c r="E111" t="s">
        <v>6</v>
      </c>
    </row>
    <row r="112" spans="2:5" x14ac:dyDescent="0.25">
      <c r="B112">
        <v>110</v>
      </c>
      <c r="C112" s="2" t="s">
        <v>8</v>
      </c>
      <c r="D112" s="1">
        <v>43009</v>
      </c>
      <c r="E112" t="s">
        <v>6</v>
      </c>
    </row>
    <row r="113" spans="2:5" x14ac:dyDescent="0.25">
      <c r="B113">
        <v>111</v>
      </c>
      <c r="C113" s="2" t="s">
        <v>5</v>
      </c>
      <c r="D113" s="1">
        <v>41365</v>
      </c>
      <c r="E113" t="s">
        <v>6</v>
      </c>
    </row>
    <row r="114" spans="2:5" x14ac:dyDescent="0.25">
      <c r="B114">
        <v>112</v>
      </c>
      <c r="C114" s="2" t="s">
        <v>8</v>
      </c>
      <c r="D114" s="1">
        <v>44805</v>
      </c>
      <c r="E114" t="s">
        <v>6</v>
      </c>
    </row>
    <row r="115" spans="2:5" x14ac:dyDescent="0.25">
      <c r="B115">
        <v>113</v>
      </c>
      <c r="C115" s="2" t="s">
        <v>9</v>
      </c>
      <c r="D115" s="1">
        <v>41712</v>
      </c>
      <c r="E115" t="s">
        <v>22</v>
      </c>
    </row>
    <row r="116" spans="2:5" x14ac:dyDescent="0.25">
      <c r="B116">
        <v>114</v>
      </c>
      <c r="C116" s="2" t="s">
        <v>9</v>
      </c>
      <c r="D116" s="1">
        <v>42826</v>
      </c>
      <c r="E116" t="s">
        <v>6</v>
      </c>
    </row>
    <row r="117" spans="2:5" x14ac:dyDescent="0.25">
      <c r="B117">
        <v>115</v>
      </c>
      <c r="C117" s="2" t="s">
        <v>5</v>
      </c>
      <c r="D117" s="1">
        <v>44531</v>
      </c>
      <c r="E117" t="s">
        <v>23</v>
      </c>
    </row>
    <row r="118" spans="2:5" x14ac:dyDescent="0.25">
      <c r="B118">
        <v>116</v>
      </c>
      <c r="C118" s="2" t="s">
        <v>16</v>
      </c>
      <c r="D118" s="1">
        <v>45139</v>
      </c>
    </row>
    <row r="119" spans="2:5" x14ac:dyDescent="0.25">
      <c r="B119">
        <v>117</v>
      </c>
      <c r="C119" s="2" t="s">
        <v>5</v>
      </c>
      <c r="D119" s="1">
        <v>43435</v>
      </c>
      <c r="E119" t="s">
        <v>6</v>
      </c>
    </row>
    <row r="120" spans="2:5" x14ac:dyDescent="0.25">
      <c r="B120">
        <v>118</v>
      </c>
      <c r="C120" s="2" t="s">
        <v>16</v>
      </c>
      <c r="D120" s="1">
        <v>44197</v>
      </c>
      <c r="E120" t="s">
        <v>6</v>
      </c>
    </row>
    <row r="121" spans="2:5" x14ac:dyDescent="0.25">
      <c r="B121">
        <v>119</v>
      </c>
      <c r="C121" s="2" t="s">
        <v>5</v>
      </c>
      <c r="D121" s="1">
        <v>45597</v>
      </c>
      <c r="E121" t="s">
        <v>11</v>
      </c>
    </row>
    <row r="122" spans="2:5" x14ac:dyDescent="0.25">
      <c r="B122">
        <v>120</v>
      </c>
      <c r="C122" s="2" t="s">
        <v>17</v>
      </c>
      <c r="D122" s="1">
        <v>44682</v>
      </c>
      <c r="E122" t="s">
        <v>6</v>
      </c>
    </row>
    <row r="123" spans="2:5" x14ac:dyDescent="0.25">
      <c r="B123">
        <v>121</v>
      </c>
      <c r="C123" s="2" t="s">
        <v>8</v>
      </c>
      <c r="D123" s="1">
        <v>43466</v>
      </c>
      <c r="E123" t="s">
        <v>6</v>
      </c>
    </row>
    <row r="124" spans="2:5" x14ac:dyDescent="0.25">
      <c r="B124">
        <v>122</v>
      </c>
      <c r="C124" s="2" t="s">
        <v>8</v>
      </c>
      <c r="D124" s="1">
        <v>43101</v>
      </c>
      <c r="E124" t="s">
        <v>6</v>
      </c>
    </row>
    <row r="125" spans="2:5" x14ac:dyDescent="0.25">
      <c r="B125">
        <v>123</v>
      </c>
      <c r="C125" s="2" t="s">
        <v>16</v>
      </c>
      <c r="D125" s="1">
        <v>43466</v>
      </c>
      <c r="E125" t="s">
        <v>6</v>
      </c>
    </row>
    <row r="126" spans="2:5" x14ac:dyDescent="0.25">
      <c r="B126">
        <v>124</v>
      </c>
      <c r="C126" s="2" t="s">
        <v>8</v>
      </c>
      <c r="D126" s="1">
        <v>41365</v>
      </c>
      <c r="E126" t="s">
        <v>10</v>
      </c>
    </row>
    <row r="127" spans="2:5" x14ac:dyDescent="0.25">
      <c r="B127">
        <v>125</v>
      </c>
      <c r="C127" s="2" t="s">
        <v>5</v>
      </c>
      <c r="D127" s="1">
        <v>41365</v>
      </c>
      <c r="E127" t="s">
        <v>6</v>
      </c>
    </row>
    <row r="128" spans="2:5" x14ac:dyDescent="0.25">
      <c r="B128">
        <v>126</v>
      </c>
      <c r="C128" s="2" t="s">
        <v>8</v>
      </c>
      <c r="D128" s="1">
        <v>43497</v>
      </c>
      <c r="E128" t="s">
        <v>6</v>
      </c>
    </row>
    <row r="129" spans="2:5" x14ac:dyDescent="0.25">
      <c r="B129">
        <v>127</v>
      </c>
      <c r="C129" s="2" t="s">
        <v>7</v>
      </c>
      <c r="D129" s="1">
        <v>43282</v>
      </c>
      <c r="E129" t="s">
        <v>24</v>
      </c>
    </row>
    <row r="130" spans="2:5" x14ac:dyDescent="0.25">
      <c r="B130">
        <v>128</v>
      </c>
      <c r="C130" s="2" t="s">
        <v>8</v>
      </c>
      <c r="D130" s="1">
        <v>41365</v>
      </c>
    </row>
    <row r="131" spans="2:5" x14ac:dyDescent="0.25">
      <c r="B131">
        <v>129</v>
      </c>
      <c r="C131" s="2" t="s">
        <v>9</v>
      </c>
      <c r="D131" s="1">
        <v>45627</v>
      </c>
      <c r="E131" t="s">
        <v>21</v>
      </c>
    </row>
    <row r="132" spans="2:5" x14ac:dyDescent="0.25">
      <c r="B132">
        <v>130</v>
      </c>
      <c r="C132" s="2" t="s">
        <v>3</v>
      </c>
      <c r="D132" s="1">
        <v>44835</v>
      </c>
      <c r="E132" t="s">
        <v>25</v>
      </c>
    </row>
    <row r="133" spans="2:5" x14ac:dyDescent="0.25">
      <c r="B133">
        <v>131</v>
      </c>
      <c r="C133" s="2" t="s">
        <v>3</v>
      </c>
      <c r="D133" s="1">
        <v>44835</v>
      </c>
      <c r="E133" t="s">
        <v>13</v>
      </c>
    </row>
    <row r="134" spans="2:5" x14ac:dyDescent="0.25">
      <c r="B134">
        <v>132</v>
      </c>
      <c r="C134" s="2" t="s">
        <v>8</v>
      </c>
      <c r="D134" s="1">
        <v>44166</v>
      </c>
      <c r="E134" t="s">
        <v>6</v>
      </c>
    </row>
    <row r="135" spans="2:5" x14ac:dyDescent="0.25">
      <c r="B135">
        <v>133</v>
      </c>
      <c r="C135" s="2" t="s">
        <v>16</v>
      </c>
      <c r="D135" s="1">
        <v>43831</v>
      </c>
      <c r="E135" t="s">
        <v>6</v>
      </c>
    </row>
    <row r="136" spans="2:5" x14ac:dyDescent="0.25">
      <c r="B136">
        <v>134</v>
      </c>
      <c r="C136" s="2" t="s">
        <v>16</v>
      </c>
      <c r="D136" s="1">
        <v>44136</v>
      </c>
      <c r="E136" t="s">
        <v>14</v>
      </c>
    </row>
    <row r="137" spans="2:5" x14ac:dyDescent="0.25">
      <c r="B137">
        <v>135</v>
      </c>
      <c r="C137" s="2" t="s">
        <v>16</v>
      </c>
      <c r="D137" s="1">
        <v>41365</v>
      </c>
      <c r="E137" t="s">
        <v>6</v>
      </c>
    </row>
    <row r="138" spans="2:5" x14ac:dyDescent="0.25">
      <c r="B138">
        <v>136</v>
      </c>
      <c r="C138" s="2" t="s">
        <v>5</v>
      </c>
      <c r="D138" s="1">
        <v>43709</v>
      </c>
      <c r="E138" t="s">
        <v>6</v>
      </c>
    </row>
    <row r="139" spans="2:5" x14ac:dyDescent="0.25">
      <c r="B139">
        <v>137</v>
      </c>
      <c r="C139" s="2" t="s">
        <v>9</v>
      </c>
      <c r="D139" s="1">
        <v>45536</v>
      </c>
      <c r="E139" t="s">
        <v>6</v>
      </c>
    </row>
    <row r="140" spans="2:5" x14ac:dyDescent="0.25">
      <c r="B140">
        <v>138</v>
      </c>
      <c r="C140" s="2" t="s">
        <v>16</v>
      </c>
      <c r="D140" s="1">
        <v>43435</v>
      </c>
      <c r="E140" t="s">
        <v>6</v>
      </c>
    </row>
    <row r="141" spans="2:5" x14ac:dyDescent="0.25">
      <c r="B141">
        <v>139</v>
      </c>
      <c r="C141" s="2" t="s">
        <v>3</v>
      </c>
      <c r="D141" s="1">
        <v>43101</v>
      </c>
      <c r="E141" t="s">
        <v>13</v>
      </c>
    </row>
    <row r="142" spans="2:5" x14ac:dyDescent="0.25">
      <c r="B142">
        <v>140</v>
      </c>
      <c r="C142" s="2" t="s">
        <v>8</v>
      </c>
      <c r="D142" s="1">
        <v>41365</v>
      </c>
      <c r="E142" t="s">
        <v>6</v>
      </c>
    </row>
    <row r="143" spans="2:5" x14ac:dyDescent="0.25">
      <c r="B143">
        <v>141</v>
      </c>
      <c r="C143" s="2" t="s">
        <v>16</v>
      </c>
      <c r="D143" s="1">
        <v>45566</v>
      </c>
      <c r="E143" t="s">
        <v>26</v>
      </c>
    </row>
    <row r="144" spans="2:5" x14ac:dyDescent="0.25">
      <c r="B144">
        <v>142</v>
      </c>
      <c r="C144" s="2" t="s">
        <v>5</v>
      </c>
      <c r="D144" s="1">
        <v>45352</v>
      </c>
      <c r="E144" t="s">
        <v>6</v>
      </c>
    </row>
    <row r="145" spans="2:5" x14ac:dyDescent="0.25">
      <c r="B145">
        <v>143</v>
      </c>
      <c r="C145" s="2" t="s">
        <v>12</v>
      </c>
      <c r="D145" s="1">
        <v>44075</v>
      </c>
      <c r="E145" t="s">
        <v>6</v>
      </c>
    </row>
    <row r="146" spans="2:5" x14ac:dyDescent="0.25">
      <c r="B146">
        <v>144</v>
      </c>
      <c r="C146" s="2" t="s">
        <v>9</v>
      </c>
      <c r="D146" s="1">
        <v>45047</v>
      </c>
      <c r="E146" t="s">
        <v>11</v>
      </c>
    </row>
    <row r="147" spans="2:5" x14ac:dyDescent="0.25">
      <c r="B147">
        <v>145</v>
      </c>
      <c r="C147" s="2" t="s">
        <v>8</v>
      </c>
      <c r="D147" s="1">
        <v>41730</v>
      </c>
      <c r="E147" t="s">
        <v>10</v>
      </c>
    </row>
    <row r="148" spans="2:5" x14ac:dyDescent="0.25">
      <c r="B148">
        <v>146</v>
      </c>
      <c r="C148" s="2" t="s">
        <v>8</v>
      </c>
      <c r="D148" s="1">
        <v>43497</v>
      </c>
      <c r="E148" t="s">
        <v>6</v>
      </c>
    </row>
    <row r="149" spans="2:5" x14ac:dyDescent="0.25">
      <c r="B149">
        <v>147</v>
      </c>
      <c r="C149" s="2" t="s">
        <v>8</v>
      </c>
      <c r="D149" s="1">
        <v>42491</v>
      </c>
      <c r="E149" t="s">
        <v>10</v>
      </c>
    </row>
    <row r="150" spans="2:5" x14ac:dyDescent="0.25">
      <c r="B150">
        <v>148</v>
      </c>
      <c r="C150" s="2" t="s">
        <v>16</v>
      </c>
      <c r="D150" s="1">
        <v>44835</v>
      </c>
      <c r="E150" t="s">
        <v>6</v>
      </c>
    </row>
    <row r="151" spans="2:5" x14ac:dyDescent="0.25">
      <c r="B151">
        <v>149</v>
      </c>
      <c r="C151" s="2" t="s">
        <v>3</v>
      </c>
      <c r="D151" s="1">
        <v>44774</v>
      </c>
      <c r="E151" t="s">
        <v>24</v>
      </c>
    </row>
    <row r="152" spans="2:5" x14ac:dyDescent="0.25">
      <c r="B152">
        <v>150</v>
      </c>
      <c r="C152" s="2" t="s">
        <v>5</v>
      </c>
      <c r="D152" s="1">
        <v>44044</v>
      </c>
      <c r="E152" t="s">
        <v>6</v>
      </c>
    </row>
    <row r="153" spans="2:5" x14ac:dyDescent="0.25">
      <c r="B153">
        <v>151</v>
      </c>
      <c r="C153" s="2" t="s">
        <v>8</v>
      </c>
      <c r="D153" s="1">
        <v>44652</v>
      </c>
      <c r="E153" t="s">
        <v>10</v>
      </c>
    </row>
    <row r="154" spans="2:5" x14ac:dyDescent="0.25">
      <c r="B154">
        <v>152</v>
      </c>
      <c r="C154" s="2" t="s">
        <v>3</v>
      </c>
      <c r="D154" s="1">
        <v>44562</v>
      </c>
      <c r="E154" t="s">
        <v>4</v>
      </c>
    </row>
    <row r="155" spans="2:5" x14ac:dyDescent="0.25">
      <c r="B155">
        <v>153</v>
      </c>
      <c r="C155" s="2" t="s">
        <v>5</v>
      </c>
      <c r="D155" s="1">
        <v>45200</v>
      </c>
      <c r="E155" t="s">
        <v>11</v>
      </c>
    </row>
    <row r="156" spans="2:5" x14ac:dyDescent="0.25">
      <c r="B156">
        <v>154</v>
      </c>
      <c r="C156" s="2" t="s">
        <v>9</v>
      </c>
      <c r="D156" s="1">
        <v>41671</v>
      </c>
      <c r="E156" t="s">
        <v>6</v>
      </c>
    </row>
    <row r="157" spans="2:5" x14ac:dyDescent="0.25">
      <c r="B157">
        <v>155</v>
      </c>
      <c r="C157" s="2" t="s">
        <v>8</v>
      </c>
      <c r="D157" s="1">
        <v>41365</v>
      </c>
      <c r="E157" t="s">
        <v>6</v>
      </c>
    </row>
    <row r="158" spans="2:5" x14ac:dyDescent="0.25">
      <c r="B158">
        <v>156</v>
      </c>
      <c r="C158" s="2" t="s">
        <v>3</v>
      </c>
      <c r="D158" s="1">
        <v>45292</v>
      </c>
      <c r="E158" t="s">
        <v>13</v>
      </c>
    </row>
    <row r="159" spans="2:5" x14ac:dyDescent="0.25">
      <c r="B159">
        <v>157</v>
      </c>
      <c r="C159" s="2" t="s">
        <v>8</v>
      </c>
      <c r="D159" s="1">
        <v>44197</v>
      </c>
      <c r="E159" t="s">
        <v>14</v>
      </c>
    </row>
    <row r="160" spans="2:5" x14ac:dyDescent="0.25">
      <c r="B160">
        <v>158</v>
      </c>
      <c r="C160" s="2" t="s">
        <v>9</v>
      </c>
      <c r="D160" s="1">
        <v>41671</v>
      </c>
      <c r="E160" t="s">
        <v>6</v>
      </c>
    </row>
    <row r="161" spans="2:5" x14ac:dyDescent="0.25">
      <c r="B161">
        <v>159</v>
      </c>
      <c r="C161" s="2" t="s">
        <v>9</v>
      </c>
      <c r="D161" s="1">
        <v>41671</v>
      </c>
      <c r="E161" t="s">
        <v>6</v>
      </c>
    </row>
    <row r="162" spans="2:5" x14ac:dyDescent="0.25">
      <c r="B162">
        <v>160</v>
      </c>
      <c r="C162" s="2" t="s">
        <v>8</v>
      </c>
      <c r="D162" s="1">
        <v>41365</v>
      </c>
      <c r="E162" t="s">
        <v>6</v>
      </c>
    </row>
    <row r="163" spans="2:5" x14ac:dyDescent="0.25">
      <c r="B163">
        <v>161</v>
      </c>
      <c r="C163" s="2" t="s">
        <v>3</v>
      </c>
      <c r="D163" s="1">
        <v>44774</v>
      </c>
    </row>
    <row r="164" spans="2:5" x14ac:dyDescent="0.25">
      <c r="B164">
        <v>162</v>
      </c>
      <c r="C164" s="2" t="s">
        <v>8</v>
      </c>
      <c r="D164" s="1">
        <v>41365</v>
      </c>
      <c r="E164" t="s">
        <v>13</v>
      </c>
    </row>
    <row r="165" spans="2:5" x14ac:dyDescent="0.25">
      <c r="B165">
        <v>163</v>
      </c>
      <c r="C165" s="2" t="s">
        <v>9</v>
      </c>
      <c r="D165" s="1">
        <v>41671</v>
      </c>
      <c r="E165" t="s">
        <v>6</v>
      </c>
    </row>
    <row r="166" spans="2:5" x14ac:dyDescent="0.25">
      <c r="B166">
        <v>164</v>
      </c>
      <c r="C166" s="2" t="s">
        <v>8</v>
      </c>
      <c r="D166" s="1">
        <v>41365</v>
      </c>
      <c r="E166" t="s">
        <v>6</v>
      </c>
    </row>
    <row r="167" spans="2:5" x14ac:dyDescent="0.25">
      <c r="B167">
        <v>165</v>
      </c>
      <c r="C167" s="2" t="s">
        <v>9</v>
      </c>
      <c r="D167" s="1">
        <v>43497</v>
      </c>
      <c r="E167" t="s">
        <v>10</v>
      </c>
    </row>
    <row r="168" spans="2:5" x14ac:dyDescent="0.25">
      <c r="B168">
        <v>166</v>
      </c>
      <c r="C168" s="2" t="s">
        <v>8</v>
      </c>
      <c r="D168" s="1">
        <v>41365</v>
      </c>
      <c r="E168" t="s">
        <v>6</v>
      </c>
    </row>
    <row r="169" spans="2:5" x14ac:dyDescent="0.25">
      <c r="B169">
        <v>167</v>
      </c>
      <c r="C169" s="2" t="s">
        <v>8</v>
      </c>
      <c r="D169" s="1">
        <v>41365</v>
      </c>
      <c r="E169" t="s">
        <v>10</v>
      </c>
    </row>
    <row r="170" spans="2:5" x14ac:dyDescent="0.25">
      <c r="B170">
        <v>168</v>
      </c>
      <c r="C170" s="2" t="s">
        <v>8</v>
      </c>
      <c r="D170" s="1">
        <v>41348</v>
      </c>
      <c r="E170" t="s">
        <v>6</v>
      </c>
    </row>
    <row r="171" spans="2:5" x14ac:dyDescent="0.25">
      <c r="B171">
        <v>169</v>
      </c>
      <c r="C171" s="2" t="s">
        <v>8</v>
      </c>
      <c r="D171" s="1">
        <v>41365</v>
      </c>
      <c r="E171" t="s">
        <v>6</v>
      </c>
    </row>
    <row r="172" spans="2:5" x14ac:dyDescent="0.25">
      <c r="B172">
        <v>170</v>
      </c>
      <c r="C172" s="2" t="s">
        <v>5</v>
      </c>
      <c r="D172" s="1">
        <v>43556</v>
      </c>
      <c r="E172" t="s">
        <v>6</v>
      </c>
    </row>
    <row r="173" spans="2:5" x14ac:dyDescent="0.25">
      <c r="B173">
        <v>171</v>
      </c>
      <c r="C173" s="2" t="s">
        <v>9</v>
      </c>
      <c r="D173" s="1">
        <v>41730</v>
      </c>
      <c r="E173" t="s">
        <v>11</v>
      </c>
    </row>
    <row r="174" spans="2:5" x14ac:dyDescent="0.25">
      <c r="B174">
        <v>172</v>
      </c>
      <c r="C174" s="2" t="s">
        <v>5</v>
      </c>
      <c r="D174" s="1">
        <v>44986</v>
      </c>
      <c r="E174" t="s">
        <v>6</v>
      </c>
    </row>
    <row r="175" spans="2:5" x14ac:dyDescent="0.25">
      <c r="B175">
        <v>173</v>
      </c>
      <c r="C175" s="2" t="s">
        <v>17</v>
      </c>
      <c r="D175" s="1">
        <v>43466</v>
      </c>
      <c r="E175" t="s">
        <v>6</v>
      </c>
    </row>
    <row r="176" spans="2:5" x14ac:dyDescent="0.25">
      <c r="B176">
        <v>174</v>
      </c>
      <c r="C176" s="2" t="s">
        <v>8</v>
      </c>
      <c r="D176" s="1">
        <v>41395</v>
      </c>
      <c r="E176" t="s">
        <v>6</v>
      </c>
    </row>
    <row r="177" spans="2:5" x14ac:dyDescent="0.25">
      <c r="B177">
        <v>175</v>
      </c>
      <c r="C177" s="2" t="s">
        <v>8</v>
      </c>
      <c r="D177" s="1">
        <v>44713</v>
      </c>
      <c r="E177" t="s">
        <v>25</v>
      </c>
    </row>
    <row r="178" spans="2:5" x14ac:dyDescent="0.25">
      <c r="B178">
        <v>176</v>
      </c>
      <c r="C178" s="2" t="s">
        <v>5</v>
      </c>
      <c r="D178" s="1">
        <v>41395</v>
      </c>
      <c r="E178" t="s">
        <v>6</v>
      </c>
    </row>
    <row r="179" spans="2:5" x14ac:dyDescent="0.25">
      <c r="B179">
        <v>177</v>
      </c>
      <c r="C179" s="2" t="s">
        <v>7</v>
      </c>
      <c r="D179" s="1">
        <v>44075</v>
      </c>
      <c r="E179" t="s">
        <v>13</v>
      </c>
    </row>
    <row r="180" spans="2:5" x14ac:dyDescent="0.25">
      <c r="B180">
        <v>178</v>
      </c>
      <c r="C180" s="2" t="s">
        <v>16</v>
      </c>
      <c r="D180" s="1">
        <v>41487</v>
      </c>
      <c r="E180" t="s">
        <v>6</v>
      </c>
    </row>
    <row r="181" spans="2:5" x14ac:dyDescent="0.25">
      <c r="B181">
        <v>179</v>
      </c>
      <c r="C181" s="2" t="s">
        <v>16</v>
      </c>
      <c r="D181" s="1">
        <v>41487</v>
      </c>
      <c r="E181" t="s">
        <v>6</v>
      </c>
    </row>
    <row r="182" spans="2:5" x14ac:dyDescent="0.25">
      <c r="B182">
        <v>180</v>
      </c>
      <c r="C182" s="2" t="s">
        <v>8</v>
      </c>
      <c r="D182" s="1">
        <v>41365</v>
      </c>
      <c r="E182" t="s">
        <v>6</v>
      </c>
    </row>
    <row r="183" spans="2:5" x14ac:dyDescent="0.25">
      <c r="B183">
        <v>181</v>
      </c>
      <c r="C183" s="2" t="s">
        <v>8</v>
      </c>
      <c r="D183" s="1">
        <v>45323</v>
      </c>
      <c r="E183" t="s">
        <v>11</v>
      </c>
    </row>
    <row r="184" spans="2:5" x14ac:dyDescent="0.25">
      <c r="B184">
        <v>182</v>
      </c>
      <c r="C184" s="2" t="s">
        <v>9</v>
      </c>
      <c r="D184" s="1">
        <v>41730</v>
      </c>
      <c r="E184" t="s">
        <v>10</v>
      </c>
    </row>
    <row r="185" spans="2:5" x14ac:dyDescent="0.25">
      <c r="B185">
        <v>183</v>
      </c>
      <c r="C185" s="2" t="s">
        <v>7</v>
      </c>
      <c r="D185" s="1">
        <v>44440</v>
      </c>
      <c r="E185" t="s">
        <v>13</v>
      </c>
    </row>
    <row r="186" spans="2:5" x14ac:dyDescent="0.25">
      <c r="B186">
        <v>184</v>
      </c>
      <c r="C186" s="2" t="s">
        <v>8</v>
      </c>
      <c r="D186" s="1">
        <v>42401</v>
      </c>
    </row>
    <row r="187" spans="2:5" x14ac:dyDescent="0.25">
      <c r="B187">
        <v>185</v>
      </c>
      <c r="C187" s="2" t="s">
        <v>12</v>
      </c>
      <c r="D187" s="1">
        <v>44378</v>
      </c>
    </row>
    <row r="188" spans="2:5" x14ac:dyDescent="0.25">
      <c r="B188">
        <v>186</v>
      </c>
      <c r="C188" s="2" t="s">
        <v>9</v>
      </c>
      <c r="D188" s="1">
        <v>43405</v>
      </c>
      <c r="E188" t="s">
        <v>6</v>
      </c>
    </row>
    <row r="189" spans="2:5" x14ac:dyDescent="0.25">
      <c r="B189">
        <v>187</v>
      </c>
      <c r="C189" s="2" t="s">
        <v>8</v>
      </c>
      <c r="D189" s="1">
        <v>43525</v>
      </c>
      <c r="E189" t="s">
        <v>25</v>
      </c>
    </row>
    <row r="190" spans="2:5" x14ac:dyDescent="0.25">
      <c r="B190">
        <v>188</v>
      </c>
      <c r="C190" s="2" t="s">
        <v>9</v>
      </c>
      <c r="D190" s="1">
        <v>41671</v>
      </c>
      <c r="E190" t="s">
        <v>6</v>
      </c>
    </row>
    <row r="191" spans="2:5" x14ac:dyDescent="0.25">
      <c r="B191">
        <v>189</v>
      </c>
      <c r="C191" s="2" t="s">
        <v>8</v>
      </c>
      <c r="D191" s="1">
        <v>43525</v>
      </c>
      <c r="E191" t="s">
        <v>11</v>
      </c>
    </row>
    <row r="192" spans="2:5" x14ac:dyDescent="0.25">
      <c r="B192">
        <v>190</v>
      </c>
      <c r="C192" s="2" t="s">
        <v>5</v>
      </c>
      <c r="D192" s="1">
        <v>43435</v>
      </c>
      <c r="E192" t="s">
        <v>11</v>
      </c>
    </row>
    <row r="193" spans="2:5" x14ac:dyDescent="0.25">
      <c r="B193">
        <v>191</v>
      </c>
      <c r="C193" s="2" t="s">
        <v>8</v>
      </c>
      <c r="D193" s="1">
        <v>44166</v>
      </c>
      <c r="E193" t="s">
        <v>6</v>
      </c>
    </row>
    <row r="194" spans="2:5" x14ac:dyDescent="0.25">
      <c r="B194">
        <v>192</v>
      </c>
      <c r="C194" s="2" t="s">
        <v>9</v>
      </c>
      <c r="D194" s="1">
        <v>42825</v>
      </c>
      <c r="E194" t="s">
        <v>6</v>
      </c>
    </row>
    <row r="195" spans="2:5" x14ac:dyDescent="0.25">
      <c r="B195">
        <v>193</v>
      </c>
      <c r="C195" s="2" t="s">
        <v>8</v>
      </c>
      <c r="D195" s="1">
        <v>45017</v>
      </c>
      <c r="E195" t="s">
        <v>27</v>
      </c>
    </row>
    <row r="196" spans="2:5" x14ac:dyDescent="0.25">
      <c r="B196">
        <v>194</v>
      </c>
      <c r="C196" s="2" t="s">
        <v>8</v>
      </c>
      <c r="D196" s="1">
        <v>41365</v>
      </c>
    </row>
    <row r="197" spans="2:5" x14ac:dyDescent="0.25">
      <c r="B197">
        <v>195</v>
      </c>
      <c r="C197" s="2" t="s">
        <v>8</v>
      </c>
      <c r="D197" s="1">
        <v>41365</v>
      </c>
      <c r="E197" t="s">
        <v>6</v>
      </c>
    </row>
    <row r="198" spans="2:5" x14ac:dyDescent="0.25">
      <c r="B198">
        <v>196</v>
      </c>
      <c r="C198" s="2" t="s">
        <v>5</v>
      </c>
      <c r="D198" s="1">
        <v>44866</v>
      </c>
      <c r="E198" t="s">
        <v>6</v>
      </c>
    </row>
    <row r="199" spans="2:5" x14ac:dyDescent="0.25">
      <c r="B199">
        <v>197</v>
      </c>
      <c r="C199" s="2" t="s">
        <v>9</v>
      </c>
      <c r="D199" s="1">
        <v>41723</v>
      </c>
      <c r="E199" t="s">
        <v>6</v>
      </c>
    </row>
    <row r="200" spans="2:5" x14ac:dyDescent="0.25">
      <c r="B200">
        <v>198</v>
      </c>
      <c r="C200" s="2" t="s">
        <v>3</v>
      </c>
      <c r="D200" s="1">
        <v>43191</v>
      </c>
      <c r="E200" t="s">
        <v>4</v>
      </c>
    </row>
    <row r="201" spans="2:5" x14ac:dyDescent="0.25">
      <c r="B201">
        <v>199</v>
      </c>
      <c r="C201" s="2" t="s">
        <v>8</v>
      </c>
      <c r="D201" s="1">
        <v>41365</v>
      </c>
    </row>
    <row r="202" spans="2:5" x14ac:dyDescent="0.25">
      <c r="B202">
        <v>200</v>
      </c>
      <c r="C202" s="2" t="s">
        <v>9</v>
      </c>
      <c r="D202" s="1">
        <v>41730</v>
      </c>
      <c r="E202" t="s">
        <v>6</v>
      </c>
    </row>
    <row r="203" spans="2:5" x14ac:dyDescent="0.25">
      <c r="B203">
        <v>201</v>
      </c>
      <c r="C203" s="2" t="s">
        <v>5</v>
      </c>
      <c r="D203" s="1">
        <v>41518</v>
      </c>
      <c r="E203" t="s">
        <v>6</v>
      </c>
    </row>
    <row r="204" spans="2:5" x14ac:dyDescent="0.25">
      <c r="B204">
        <v>202</v>
      </c>
      <c r="C204" s="2" t="s">
        <v>3</v>
      </c>
      <c r="D204" s="1">
        <v>44075</v>
      </c>
      <c r="E204" t="s">
        <v>25</v>
      </c>
    </row>
    <row r="205" spans="2:5" x14ac:dyDescent="0.25">
      <c r="B205">
        <v>203</v>
      </c>
      <c r="C205" s="2" t="s">
        <v>9</v>
      </c>
      <c r="D205" s="1">
        <v>41712</v>
      </c>
      <c r="E205" t="s">
        <v>6</v>
      </c>
    </row>
    <row r="206" spans="2:5" x14ac:dyDescent="0.25">
      <c r="B206">
        <v>204</v>
      </c>
      <c r="C206" s="2" t="s">
        <v>16</v>
      </c>
      <c r="D206" s="1">
        <v>43435</v>
      </c>
      <c r="E206" t="s">
        <v>6</v>
      </c>
    </row>
    <row r="207" spans="2:5" x14ac:dyDescent="0.25">
      <c r="B207">
        <v>205</v>
      </c>
      <c r="C207" s="2" t="s">
        <v>17</v>
      </c>
      <c r="D207" s="1">
        <v>43800</v>
      </c>
      <c r="E207" t="s">
        <v>21</v>
      </c>
    </row>
    <row r="208" spans="2:5" x14ac:dyDescent="0.25">
      <c r="B208">
        <v>206</v>
      </c>
      <c r="C208" s="2" t="s">
        <v>5</v>
      </c>
      <c r="D208" s="1">
        <v>45139</v>
      </c>
      <c r="E208" t="s">
        <v>11</v>
      </c>
    </row>
    <row r="209" spans="2:5" x14ac:dyDescent="0.25">
      <c r="B209">
        <v>207</v>
      </c>
      <c r="C209" s="2" t="s">
        <v>8</v>
      </c>
      <c r="D209" s="1">
        <v>43831</v>
      </c>
      <c r="E209" t="s">
        <v>6</v>
      </c>
    </row>
    <row r="210" spans="2:5" x14ac:dyDescent="0.25">
      <c r="B210">
        <v>208</v>
      </c>
      <c r="C210" s="2" t="s">
        <v>8</v>
      </c>
      <c r="D210" s="1">
        <v>43831</v>
      </c>
      <c r="E210" t="s">
        <v>6</v>
      </c>
    </row>
    <row r="211" spans="2:5" x14ac:dyDescent="0.25">
      <c r="B211">
        <v>209</v>
      </c>
      <c r="C211" s="2" t="s">
        <v>12</v>
      </c>
      <c r="D211" s="1">
        <v>44075</v>
      </c>
      <c r="E211" t="s">
        <v>6</v>
      </c>
    </row>
    <row r="212" spans="2:5" x14ac:dyDescent="0.25">
      <c r="B212">
        <v>210</v>
      </c>
      <c r="C212" s="2" t="s">
        <v>28</v>
      </c>
      <c r="D212" s="1">
        <v>41365</v>
      </c>
      <c r="E212" t="s">
        <v>6</v>
      </c>
    </row>
    <row r="213" spans="2:5" x14ac:dyDescent="0.25">
      <c r="B213">
        <v>211</v>
      </c>
      <c r="C213" s="2" t="s">
        <v>8</v>
      </c>
      <c r="D213" s="1">
        <v>43709</v>
      </c>
      <c r="E213" t="s">
        <v>6</v>
      </c>
    </row>
    <row r="214" spans="2:5" x14ac:dyDescent="0.25">
      <c r="B214">
        <v>212</v>
      </c>
      <c r="C214" s="2" t="s">
        <v>5</v>
      </c>
      <c r="D214" s="1">
        <v>43831</v>
      </c>
      <c r="E214" t="s">
        <v>6</v>
      </c>
    </row>
    <row r="215" spans="2:5" x14ac:dyDescent="0.25">
      <c r="B215">
        <v>213</v>
      </c>
      <c r="C215" s="2" t="s">
        <v>12</v>
      </c>
      <c r="D215" s="1">
        <v>45261</v>
      </c>
      <c r="E215" t="s">
        <v>11</v>
      </c>
    </row>
    <row r="216" spans="2:5" x14ac:dyDescent="0.25">
      <c r="B216">
        <v>214</v>
      </c>
      <c r="C216" s="2" t="s">
        <v>16</v>
      </c>
      <c r="D216" s="1">
        <v>41426</v>
      </c>
      <c r="E216" t="s">
        <v>6</v>
      </c>
    </row>
    <row r="217" spans="2:5" x14ac:dyDescent="0.25">
      <c r="B217">
        <v>215</v>
      </c>
      <c r="C217" s="2" t="s">
        <v>9</v>
      </c>
      <c r="D217" s="1">
        <v>44531</v>
      </c>
      <c r="E217" t="s">
        <v>6</v>
      </c>
    </row>
    <row r="218" spans="2:5" x14ac:dyDescent="0.25">
      <c r="B218">
        <v>216</v>
      </c>
      <c r="C218" s="2" t="s">
        <v>16</v>
      </c>
      <c r="D218" s="1">
        <v>41640</v>
      </c>
      <c r="E218" t="s">
        <v>6</v>
      </c>
    </row>
    <row r="219" spans="2:5" x14ac:dyDescent="0.25">
      <c r="B219">
        <v>217</v>
      </c>
      <c r="C219" s="2" t="s">
        <v>3</v>
      </c>
      <c r="D219" s="1">
        <v>44228</v>
      </c>
      <c r="E219" t="s">
        <v>4</v>
      </c>
    </row>
    <row r="220" spans="2:5" x14ac:dyDescent="0.25">
      <c r="B220">
        <v>218</v>
      </c>
      <c r="C220" s="2" t="s">
        <v>12</v>
      </c>
      <c r="D220" s="1">
        <v>45108</v>
      </c>
      <c r="E220" t="s">
        <v>11</v>
      </c>
    </row>
    <row r="221" spans="2:5" x14ac:dyDescent="0.25">
      <c r="B221">
        <v>219</v>
      </c>
      <c r="C221" s="2" t="s">
        <v>3</v>
      </c>
      <c r="D221" s="1">
        <v>44593</v>
      </c>
      <c r="E221" t="s">
        <v>13</v>
      </c>
    </row>
    <row r="222" spans="2:5" x14ac:dyDescent="0.25">
      <c r="B222">
        <v>220</v>
      </c>
      <c r="C222" s="2" t="s">
        <v>3</v>
      </c>
      <c r="D222" s="1">
        <v>45170</v>
      </c>
      <c r="E222" t="s">
        <v>13</v>
      </c>
    </row>
    <row r="223" spans="2:5" x14ac:dyDescent="0.25">
      <c r="B223">
        <v>221</v>
      </c>
      <c r="C223" s="2" t="s">
        <v>16</v>
      </c>
      <c r="D223" s="1">
        <v>43419</v>
      </c>
    </row>
    <row r="224" spans="2:5" x14ac:dyDescent="0.25">
      <c r="B224">
        <v>222</v>
      </c>
      <c r="C224" s="2" t="s">
        <v>3</v>
      </c>
      <c r="D224" s="1">
        <v>45170</v>
      </c>
      <c r="E224" t="s">
        <v>13</v>
      </c>
    </row>
    <row r="225" spans="2:5" x14ac:dyDescent="0.25">
      <c r="B225">
        <v>223</v>
      </c>
      <c r="C225" s="2" t="s">
        <v>8</v>
      </c>
      <c r="D225" s="1">
        <v>44562</v>
      </c>
      <c r="E225" t="s">
        <v>6</v>
      </c>
    </row>
    <row r="226" spans="2:5" x14ac:dyDescent="0.25">
      <c r="B226">
        <v>224</v>
      </c>
      <c r="C226" s="2" t="s">
        <v>7</v>
      </c>
      <c r="D226" s="1">
        <v>44228</v>
      </c>
      <c r="E226" t="s">
        <v>13</v>
      </c>
    </row>
    <row r="227" spans="2:5" x14ac:dyDescent="0.25">
      <c r="B227">
        <v>225</v>
      </c>
      <c r="C227" s="2" t="s">
        <v>17</v>
      </c>
      <c r="D227" s="1">
        <v>45261</v>
      </c>
      <c r="E227" t="s">
        <v>6</v>
      </c>
    </row>
    <row r="228" spans="2:5" x14ac:dyDescent="0.25">
      <c r="B228">
        <v>226</v>
      </c>
      <c r="C228" s="2" t="s">
        <v>8</v>
      </c>
      <c r="D228" s="1">
        <v>45292</v>
      </c>
      <c r="E228" t="s">
        <v>6</v>
      </c>
    </row>
    <row r="229" spans="2:5" x14ac:dyDescent="0.25">
      <c r="B229">
        <v>227</v>
      </c>
      <c r="C229" s="2" t="s">
        <v>8</v>
      </c>
      <c r="D229" s="1">
        <v>42979</v>
      </c>
      <c r="E229" t="s">
        <v>6</v>
      </c>
    </row>
    <row r="230" spans="2:5" x14ac:dyDescent="0.25">
      <c r="B230">
        <v>228</v>
      </c>
      <c r="C230" s="2" t="s">
        <v>5</v>
      </c>
      <c r="D230" s="1">
        <v>45047</v>
      </c>
      <c r="E230" t="s">
        <v>21</v>
      </c>
    </row>
    <row r="231" spans="2:5" x14ac:dyDescent="0.25">
      <c r="B231">
        <v>229</v>
      </c>
      <c r="C231" s="2" t="s">
        <v>9</v>
      </c>
      <c r="D231" s="1">
        <v>44621</v>
      </c>
      <c r="E231" t="s">
        <v>11</v>
      </c>
    </row>
    <row r="232" spans="2:5" x14ac:dyDescent="0.25">
      <c r="B232">
        <v>230</v>
      </c>
      <c r="C232" s="2" t="s">
        <v>8</v>
      </c>
      <c r="D232" s="1">
        <v>41640</v>
      </c>
    </row>
    <row r="233" spans="2:5" x14ac:dyDescent="0.25">
      <c r="B233">
        <v>231</v>
      </c>
      <c r="C233" s="2" t="s">
        <v>8</v>
      </c>
      <c r="D233" s="1">
        <v>43497</v>
      </c>
      <c r="E233" t="s">
        <v>6</v>
      </c>
    </row>
    <row r="234" spans="2:5" x14ac:dyDescent="0.25">
      <c r="B234">
        <v>232</v>
      </c>
      <c r="C234" s="2" t="s">
        <v>3</v>
      </c>
      <c r="D234" s="1">
        <v>45658</v>
      </c>
      <c r="E234" t="s">
        <v>29</v>
      </c>
    </row>
    <row r="235" spans="2:5" x14ac:dyDescent="0.25">
      <c r="B235">
        <v>233</v>
      </c>
      <c r="C235" s="2" t="s">
        <v>9</v>
      </c>
      <c r="D235" s="1">
        <v>43770</v>
      </c>
      <c r="E235" t="s">
        <v>6</v>
      </c>
    </row>
    <row r="236" spans="2:5" x14ac:dyDescent="0.25">
      <c r="B236">
        <v>234</v>
      </c>
      <c r="C236" s="2" t="s">
        <v>5</v>
      </c>
      <c r="D236" s="1">
        <v>44866</v>
      </c>
      <c r="E236" t="s">
        <v>6</v>
      </c>
    </row>
    <row r="237" spans="2:5" x14ac:dyDescent="0.25">
      <c r="B237">
        <v>235</v>
      </c>
      <c r="C237" s="2" t="s">
        <v>16</v>
      </c>
      <c r="D237" s="1">
        <v>41365</v>
      </c>
      <c r="E237" t="s">
        <v>6</v>
      </c>
    </row>
    <row r="238" spans="2:5" x14ac:dyDescent="0.25">
      <c r="B238">
        <v>236</v>
      </c>
      <c r="C238" s="2" t="s">
        <v>28</v>
      </c>
      <c r="D238" s="1">
        <v>44378</v>
      </c>
      <c r="E238" t="s">
        <v>4</v>
      </c>
    </row>
    <row r="239" spans="2:5" x14ac:dyDescent="0.25">
      <c r="B239">
        <v>237</v>
      </c>
      <c r="C239" s="2" t="s">
        <v>8</v>
      </c>
      <c r="D239" s="1">
        <v>43070</v>
      </c>
      <c r="E239" t="s">
        <v>6</v>
      </c>
    </row>
    <row r="240" spans="2:5" x14ac:dyDescent="0.25">
      <c r="B240">
        <v>238</v>
      </c>
      <c r="C240" s="2" t="s">
        <v>9</v>
      </c>
      <c r="D240" s="1">
        <v>43101</v>
      </c>
      <c r="E240" t="s">
        <v>6</v>
      </c>
    </row>
    <row r="241" spans="2:5" x14ac:dyDescent="0.25">
      <c r="B241">
        <v>239</v>
      </c>
      <c r="C241" s="2" t="s">
        <v>9</v>
      </c>
      <c r="D241" s="1">
        <v>45627</v>
      </c>
      <c r="E241" t="s">
        <v>11</v>
      </c>
    </row>
    <row r="242" spans="2:5" x14ac:dyDescent="0.25">
      <c r="B242">
        <v>240</v>
      </c>
      <c r="C242" s="2" t="s">
        <v>7</v>
      </c>
      <c r="D242" s="1">
        <v>44562</v>
      </c>
      <c r="E242" t="s">
        <v>13</v>
      </c>
    </row>
    <row r="243" spans="2:5" x14ac:dyDescent="0.25">
      <c r="B243">
        <v>241</v>
      </c>
      <c r="C243" s="2" t="s">
        <v>8</v>
      </c>
      <c r="D243" s="1">
        <v>43497</v>
      </c>
      <c r="E243" t="s">
        <v>6</v>
      </c>
    </row>
    <row r="244" spans="2:5" x14ac:dyDescent="0.25">
      <c r="B244">
        <v>242</v>
      </c>
      <c r="C244" s="2" t="s">
        <v>8</v>
      </c>
      <c r="D244" s="1">
        <v>44287</v>
      </c>
      <c r="E244" t="s">
        <v>6</v>
      </c>
    </row>
    <row r="245" spans="2:5" x14ac:dyDescent="0.25">
      <c r="B245">
        <v>243</v>
      </c>
      <c r="C245" s="2" t="s">
        <v>17</v>
      </c>
      <c r="D245" s="1">
        <v>44256</v>
      </c>
      <c r="E245" t="s">
        <v>25</v>
      </c>
    </row>
    <row r="246" spans="2:5" x14ac:dyDescent="0.25">
      <c r="B246">
        <v>244</v>
      </c>
      <c r="C246" s="2" t="s">
        <v>8</v>
      </c>
      <c r="D246" s="1">
        <v>43739</v>
      </c>
      <c r="E246" t="s">
        <v>6</v>
      </c>
    </row>
    <row r="247" spans="2:5" x14ac:dyDescent="0.25">
      <c r="B247">
        <v>245</v>
      </c>
      <c r="C247" s="2" t="s">
        <v>5</v>
      </c>
      <c r="D247" s="1">
        <v>44105</v>
      </c>
      <c r="E247" t="s">
        <v>6</v>
      </c>
    </row>
    <row r="248" spans="2:5" x14ac:dyDescent="0.25">
      <c r="B248">
        <v>246</v>
      </c>
      <c r="C248" s="2" t="s">
        <v>16</v>
      </c>
      <c r="D248" s="1">
        <v>45170</v>
      </c>
      <c r="E248" t="s">
        <v>15</v>
      </c>
    </row>
    <row r="249" spans="2:5" x14ac:dyDescent="0.25">
      <c r="B249">
        <v>247</v>
      </c>
      <c r="C249" s="2" t="s">
        <v>9</v>
      </c>
      <c r="D249" s="1">
        <v>43831</v>
      </c>
      <c r="E249" t="s">
        <v>6</v>
      </c>
    </row>
    <row r="250" spans="2:5" x14ac:dyDescent="0.25">
      <c r="B250">
        <v>248</v>
      </c>
      <c r="C250" s="2" t="s">
        <v>28</v>
      </c>
      <c r="D250" s="1">
        <v>41348</v>
      </c>
    </row>
    <row r="251" spans="2:5" x14ac:dyDescent="0.25">
      <c r="B251">
        <v>249</v>
      </c>
      <c r="C251" s="2" t="s">
        <v>8</v>
      </c>
      <c r="D251" s="1">
        <v>41365</v>
      </c>
      <c r="E251" t="s">
        <v>6</v>
      </c>
    </row>
    <row r="252" spans="2:5" x14ac:dyDescent="0.25">
      <c r="B252">
        <v>250</v>
      </c>
      <c r="C252" s="2" t="s">
        <v>8</v>
      </c>
      <c r="D252" s="1">
        <v>41365</v>
      </c>
    </row>
    <row r="253" spans="2:5" x14ac:dyDescent="0.25">
      <c r="B253">
        <v>251</v>
      </c>
      <c r="C253" s="2" t="s">
        <v>8</v>
      </c>
      <c r="D253" s="1">
        <v>41365</v>
      </c>
      <c r="E253" t="s">
        <v>4</v>
      </c>
    </row>
    <row r="254" spans="2:5" x14ac:dyDescent="0.25">
      <c r="B254">
        <v>252</v>
      </c>
      <c r="C254" s="2" t="s">
        <v>8</v>
      </c>
      <c r="D254" s="1">
        <v>41365</v>
      </c>
      <c r="E254" t="s">
        <v>6</v>
      </c>
    </row>
    <row r="255" spans="2:5" x14ac:dyDescent="0.25">
      <c r="B255">
        <v>253</v>
      </c>
      <c r="C255" s="2" t="s">
        <v>12</v>
      </c>
      <c r="D255" s="1">
        <v>44197</v>
      </c>
      <c r="E255" t="s">
        <v>30</v>
      </c>
    </row>
    <row r="256" spans="2:5" x14ac:dyDescent="0.25">
      <c r="B256">
        <v>254</v>
      </c>
      <c r="C256" s="2" t="s">
        <v>16</v>
      </c>
      <c r="D256" s="1">
        <v>41365</v>
      </c>
      <c r="E256" t="s">
        <v>6</v>
      </c>
    </row>
    <row r="257" spans="2:5" x14ac:dyDescent="0.25">
      <c r="B257">
        <v>255</v>
      </c>
      <c r="C257" s="2" t="s">
        <v>5</v>
      </c>
      <c r="D257" s="1">
        <v>43405</v>
      </c>
      <c r="E257" t="s">
        <v>6</v>
      </c>
    </row>
    <row r="258" spans="2:5" x14ac:dyDescent="0.25">
      <c r="B258">
        <v>256</v>
      </c>
      <c r="C258" s="2" t="s">
        <v>16</v>
      </c>
      <c r="D258" s="1">
        <v>43070</v>
      </c>
      <c r="E258" t="s">
        <v>6</v>
      </c>
    </row>
    <row r="259" spans="2:5" x14ac:dyDescent="0.25">
      <c r="B259">
        <v>257</v>
      </c>
      <c r="C259" s="2" t="s">
        <v>16</v>
      </c>
      <c r="D259" s="1">
        <v>44562</v>
      </c>
      <c r="E259" t="s">
        <v>6</v>
      </c>
    </row>
    <row r="260" spans="2:5" x14ac:dyDescent="0.25">
      <c r="B260">
        <v>258</v>
      </c>
      <c r="C260" s="2" t="s">
        <v>8</v>
      </c>
      <c r="D260" s="1">
        <v>43891</v>
      </c>
      <c r="E260" t="s">
        <v>6</v>
      </c>
    </row>
    <row r="261" spans="2:5" x14ac:dyDescent="0.25">
      <c r="B261">
        <v>259</v>
      </c>
      <c r="C261" s="2" t="s">
        <v>9</v>
      </c>
      <c r="D261" s="1">
        <v>45047</v>
      </c>
      <c r="E261" t="s">
        <v>6</v>
      </c>
    </row>
    <row r="262" spans="2:5" x14ac:dyDescent="0.25">
      <c r="B262">
        <v>260</v>
      </c>
      <c r="C262" s="2" t="s">
        <v>16</v>
      </c>
      <c r="D262" s="1">
        <v>43435</v>
      </c>
      <c r="E262" t="s">
        <v>6</v>
      </c>
    </row>
    <row r="263" spans="2:5" x14ac:dyDescent="0.25">
      <c r="B263">
        <v>261</v>
      </c>
      <c r="C263" s="2" t="s">
        <v>8</v>
      </c>
      <c r="D263" s="1">
        <v>42979</v>
      </c>
      <c r="E263" t="s">
        <v>6</v>
      </c>
    </row>
    <row r="264" spans="2:5" x14ac:dyDescent="0.25">
      <c r="B264">
        <v>262</v>
      </c>
      <c r="C264" s="2" t="s">
        <v>8</v>
      </c>
      <c r="D264" s="1">
        <v>42979</v>
      </c>
      <c r="E264" t="s">
        <v>10</v>
      </c>
    </row>
    <row r="265" spans="2:5" x14ac:dyDescent="0.25">
      <c r="B265">
        <v>263</v>
      </c>
      <c r="C265" s="2" t="s">
        <v>8</v>
      </c>
      <c r="D265" s="1">
        <v>42767</v>
      </c>
      <c r="E265" t="s">
        <v>10</v>
      </c>
    </row>
    <row r="266" spans="2:5" x14ac:dyDescent="0.25">
      <c r="B266">
        <v>264</v>
      </c>
      <c r="C266" s="2" t="s">
        <v>17</v>
      </c>
      <c r="D266" s="1">
        <v>43922</v>
      </c>
      <c r="E266" t="s">
        <v>6</v>
      </c>
    </row>
    <row r="267" spans="2:5" x14ac:dyDescent="0.25">
      <c r="B267">
        <v>265</v>
      </c>
      <c r="C267" s="2" t="s">
        <v>8</v>
      </c>
      <c r="D267" s="1">
        <v>43070</v>
      </c>
      <c r="E267" t="s">
        <v>6</v>
      </c>
    </row>
    <row r="268" spans="2:5" x14ac:dyDescent="0.25">
      <c r="B268">
        <v>266</v>
      </c>
      <c r="C268" s="2" t="s">
        <v>3</v>
      </c>
      <c r="D268" s="1">
        <v>43709</v>
      </c>
      <c r="E268" t="s">
        <v>10</v>
      </c>
    </row>
    <row r="269" spans="2:5" x14ac:dyDescent="0.25">
      <c r="B269">
        <v>267</v>
      </c>
      <c r="C269" s="2" t="s">
        <v>28</v>
      </c>
      <c r="D269" s="1">
        <v>45261</v>
      </c>
      <c r="E269" t="s">
        <v>15</v>
      </c>
    </row>
    <row r="270" spans="2:5" x14ac:dyDescent="0.25">
      <c r="B270">
        <v>268</v>
      </c>
      <c r="C270" s="2" t="s">
        <v>16</v>
      </c>
      <c r="D270" s="1">
        <v>43435</v>
      </c>
      <c r="E270" t="s">
        <v>6</v>
      </c>
    </row>
    <row r="271" spans="2:5" x14ac:dyDescent="0.25">
      <c r="B271">
        <v>269</v>
      </c>
      <c r="C271" s="2" t="s">
        <v>8</v>
      </c>
      <c r="D271" s="1">
        <v>43709</v>
      </c>
      <c r="E271" t="s">
        <v>6</v>
      </c>
    </row>
    <row r="272" spans="2:5" x14ac:dyDescent="0.25">
      <c r="B272">
        <v>270</v>
      </c>
      <c r="C272" s="2" t="s">
        <v>9</v>
      </c>
      <c r="D272" s="1">
        <v>43132</v>
      </c>
      <c r="E272" t="s">
        <v>6</v>
      </c>
    </row>
    <row r="273" spans="2:5" x14ac:dyDescent="0.25">
      <c r="B273">
        <v>271</v>
      </c>
      <c r="C273" s="2" t="s">
        <v>9</v>
      </c>
      <c r="D273" s="1">
        <v>43160</v>
      </c>
      <c r="E273" t="s">
        <v>31</v>
      </c>
    </row>
    <row r="274" spans="2:5" x14ac:dyDescent="0.25">
      <c r="B274">
        <v>272</v>
      </c>
      <c r="C274" s="2" t="s">
        <v>8</v>
      </c>
      <c r="D274" s="1">
        <v>41365</v>
      </c>
      <c r="E274" t="s">
        <v>10</v>
      </c>
    </row>
    <row r="275" spans="2:5" x14ac:dyDescent="0.25">
      <c r="B275">
        <v>273</v>
      </c>
      <c r="C275" s="2" t="s">
        <v>3</v>
      </c>
      <c r="D275" s="1">
        <v>44256</v>
      </c>
      <c r="E275" t="s">
        <v>32</v>
      </c>
    </row>
    <row r="276" spans="2:5" x14ac:dyDescent="0.25">
      <c r="B276">
        <v>274</v>
      </c>
      <c r="C276" s="2" t="s">
        <v>16</v>
      </c>
      <c r="D276" s="1">
        <v>43132</v>
      </c>
      <c r="E276" t="s">
        <v>21</v>
      </c>
    </row>
    <row r="277" spans="2:5" x14ac:dyDescent="0.25">
      <c r="B277">
        <v>275</v>
      </c>
      <c r="C277" s="2" t="s">
        <v>9</v>
      </c>
      <c r="D277" s="1">
        <v>43374</v>
      </c>
      <c r="E277" t="s">
        <v>14</v>
      </c>
    </row>
    <row r="278" spans="2:5" x14ac:dyDescent="0.25">
      <c r="B278">
        <v>276</v>
      </c>
      <c r="C278" s="2" t="s">
        <v>8</v>
      </c>
      <c r="D278" s="1">
        <v>43770</v>
      </c>
      <c r="E278" t="s">
        <v>11</v>
      </c>
    </row>
    <row r="279" spans="2:5" x14ac:dyDescent="0.25">
      <c r="B279">
        <v>277</v>
      </c>
      <c r="C279" s="2" t="s">
        <v>8</v>
      </c>
      <c r="D279" s="1">
        <v>41365</v>
      </c>
      <c r="E279" t="s">
        <v>11</v>
      </c>
    </row>
    <row r="280" spans="2:5" x14ac:dyDescent="0.25">
      <c r="B280">
        <v>278</v>
      </c>
      <c r="C280" s="2" t="s">
        <v>5</v>
      </c>
      <c r="D280" s="1">
        <v>45413</v>
      </c>
      <c r="E280" t="s">
        <v>6</v>
      </c>
    </row>
    <row r="281" spans="2:5" x14ac:dyDescent="0.25">
      <c r="B281">
        <v>279</v>
      </c>
      <c r="C281" s="2" t="s">
        <v>8</v>
      </c>
      <c r="D281" s="1">
        <v>41852</v>
      </c>
    </row>
    <row r="282" spans="2:5" x14ac:dyDescent="0.25">
      <c r="B282">
        <v>280</v>
      </c>
      <c r="C282" s="2" t="s">
        <v>7</v>
      </c>
      <c r="D282" s="1">
        <v>44228</v>
      </c>
      <c r="E282" t="s">
        <v>13</v>
      </c>
    </row>
    <row r="283" spans="2:5" x14ac:dyDescent="0.25">
      <c r="B283">
        <v>281</v>
      </c>
      <c r="C283" s="2" t="s">
        <v>12</v>
      </c>
      <c r="D283" s="1">
        <v>45627</v>
      </c>
      <c r="E283" t="s">
        <v>11</v>
      </c>
    </row>
    <row r="284" spans="2:5" x14ac:dyDescent="0.25">
      <c r="B284">
        <v>282</v>
      </c>
      <c r="C284" s="2" t="s">
        <v>3</v>
      </c>
      <c r="D284" s="1">
        <v>45292</v>
      </c>
      <c r="E284" t="s">
        <v>13</v>
      </c>
    </row>
    <row r="285" spans="2:5" x14ac:dyDescent="0.25">
      <c r="B285">
        <v>283</v>
      </c>
      <c r="C285" s="2" t="s">
        <v>8</v>
      </c>
      <c r="D285" s="1">
        <v>44562</v>
      </c>
      <c r="E285" t="s">
        <v>6</v>
      </c>
    </row>
    <row r="286" spans="2:5" x14ac:dyDescent="0.25">
      <c r="B286">
        <v>284</v>
      </c>
      <c r="C286" s="2" t="s">
        <v>9</v>
      </c>
      <c r="D286" s="1">
        <v>41852</v>
      </c>
      <c r="E286" t="s">
        <v>6</v>
      </c>
    </row>
    <row r="287" spans="2:5" x14ac:dyDescent="0.25">
      <c r="B287">
        <v>285</v>
      </c>
      <c r="C287" s="2" t="s">
        <v>7</v>
      </c>
      <c r="D287" s="1">
        <v>43556</v>
      </c>
    </row>
    <row r="288" spans="2:5" x14ac:dyDescent="0.25">
      <c r="B288">
        <v>286</v>
      </c>
      <c r="C288" s="2" t="s">
        <v>8</v>
      </c>
      <c r="D288" s="1">
        <v>41640</v>
      </c>
      <c r="E288" t="s">
        <v>6</v>
      </c>
    </row>
    <row r="289" spans="2:5" x14ac:dyDescent="0.25">
      <c r="B289">
        <v>287</v>
      </c>
      <c r="C289" s="2" t="s">
        <v>17</v>
      </c>
      <c r="D289" s="1">
        <v>44256</v>
      </c>
      <c r="E289" t="s">
        <v>33</v>
      </c>
    </row>
    <row r="290" spans="2:5" x14ac:dyDescent="0.25">
      <c r="B290">
        <v>288</v>
      </c>
      <c r="C290" s="2" t="s">
        <v>8</v>
      </c>
      <c r="D290" s="1">
        <v>43497</v>
      </c>
      <c r="E290" t="s">
        <v>6</v>
      </c>
    </row>
    <row r="291" spans="2:5" x14ac:dyDescent="0.25">
      <c r="B291">
        <v>289</v>
      </c>
      <c r="C291" s="2" t="s">
        <v>5</v>
      </c>
      <c r="D291" s="1">
        <v>43831</v>
      </c>
      <c r="E291" t="s">
        <v>11</v>
      </c>
    </row>
    <row r="292" spans="2:5" x14ac:dyDescent="0.25">
      <c r="B292">
        <v>290</v>
      </c>
      <c r="C292" s="2" t="s">
        <v>17</v>
      </c>
      <c r="D292" s="1">
        <v>43770</v>
      </c>
      <c r="E292" t="s">
        <v>6</v>
      </c>
    </row>
    <row r="293" spans="2:5" x14ac:dyDescent="0.25">
      <c r="B293">
        <v>291</v>
      </c>
      <c r="C293" s="2" t="s">
        <v>9</v>
      </c>
      <c r="D293" s="1">
        <v>41709</v>
      </c>
      <c r="E293" t="s">
        <v>6</v>
      </c>
    </row>
    <row r="294" spans="2:5" x14ac:dyDescent="0.25">
      <c r="B294">
        <v>292</v>
      </c>
      <c r="C294" s="2" t="s">
        <v>9</v>
      </c>
      <c r="D294" s="1">
        <v>44166</v>
      </c>
      <c r="E294" t="s">
        <v>11</v>
      </c>
    </row>
    <row r="295" spans="2:5" x14ac:dyDescent="0.25">
      <c r="B295">
        <v>293</v>
      </c>
      <c r="C295" s="2" t="s">
        <v>9</v>
      </c>
      <c r="D295" s="1">
        <v>43009</v>
      </c>
      <c r="E295" t="s">
        <v>6</v>
      </c>
    </row>
    <row r="296" spans="2:5" x14ac:dyDescent="0.25">
      <c r="B296">
        <v>294</v>
      </c>
      <c r="C296" s="2" t="s">
        <v>7</v>
      </c>
      <c r="D296" s="1">
        <v>45323</v>
      </c>
      <c r="E296" t="s">
        <v>13</v>
      </c>
    </row>
    <row r="297" spans="2:5" x14ac:dyDescent="0.25">
      <c r="B297">
        <v>295</v>
      </c>
      <c r="C297" s="2" t="s">
        <v>5</v>
      </c>
      <c r="D297" s="1">
        <v>43831</v>
      </c>
      <c r="E297" t="s">
        <v>6</v>
      </c>
    </row>
    <row r="298" spans="2:5" x14ac:dyDescent="0.25">
      <c r="B298">
        <v>296</v>
      </c>
      <c r="C298" s="2" t="s">
        <v>5</v>
      </c>
      <c r="D298" s="1">
        <v>45658</v>
      </c>
      <c r="E298" t="s">
        <v>6</v>
      </c>
    </row>
    <row r="299" spans="2:5" x14ac:dyDescent="0.25">
      <c r="B299">
        <v>297</v>
      </c>
      <c r="C299" s="2" t="s">
        <v>9</v>
      </c>
      <c r="D299" s="1">
        <v>41718</v>
      </c>
      <c r="E299" t="s">
        <v>10</v>
      </c>
    </row>
    <row r="300" spans="2:5" x14ac:dyDescent="0.25">
      <c r="B300">
        <v>298</v>
      </c>
      <c r="C300" s="2" t="s">
        <v>5</v>
      </c>
      <c r="D300" s="1">
        <v>43831</v>
      </c>
      <c r="E300" t="s">
        <v>6</v>
      </c>
    </row>
    <row r="301" spans="2:5" x14ac:dyDescent="0.25">
      <c r="B301">
        <v>299</v>
      </c>
      <c r="C301" s="2" t="s">
        <v>8</v>
      </c>
      <c r="D301" s="1">
        <v>41365</v>
      </c>
      <c r="E301" t="s">
        <v>10</v>
      </c>
    </row>
    <row r="302" spans="2:5" x14ac:dyDescent="0.25">
      <c r="B302">
        <v>300</v>
      </c>
      <c r="C302" s="2" t="s">
        <v>3</v>
      </c>
      <c r="D302" s="1">
        <v>44958</v>
      </c>
      <c r="E302" t="s">
        <v>4</v>
      </c>
    </row>
    <row r="303" spans="2:5" x14ac:dyDescent="0.25">
      <c r="B303">
        <v>301</v>
      </c>
      <c r="C303" s="2" t="s">
        <v>8</v>
      </c>
      <c r="D303" s="1">
        <v>41365</v>
      </c>
      <c r="E303" t="s">
        <v>6</v>
      </c>
    </row>
    <row r="304" spans="2:5" x14ac:dyDescent="0.25">
      <c r="B304">
        <v>302</v>
      </c>
      <c r="C304" s="2" t="s">
        <v>8</v>
      </c>
      <c r="D304" s="1">
        <v>41365</v>
      </c>
      <c r="E304" t="s">
        <v>6</v>
      </c>
    </row>
    <row r="305" spans="2:5" x14ac:dyDescent="0.25">
      <c r="B305">
        <v>303</v>
      </c>
      <c r="C305" s="2" t="s">
        <v>8</v>
      </c>
      <c r="D305" s="1">
        <v>44228</v>
      </c>
      <c r="E305" t="s">
        <v>6</v>
      </c>
    </row>
    <row r="306" spans="2:5" x14ac:dyDescent="0.25">
      <c r="B306">
        <v>304</v>
      </c>
      <c r="C306" s="2" t="s">
        <v>9</v>
      </c>
      <c r="D306" s="1">
        <v>42979</v>
      </c>
      <c r="E306" t="s">
        <v>6</v>
      </c>
    </row>
    <row r="307" spans="2:5" x14ac:dyDescent="0.25">
      <c r="B307">
        <v>305</v>
      </c>
      <c r="C307" s="2" t="s">
        <v>8</v>
      </c>
      <c r="D307" s="1">
        <v>43831</v>
      </c>
      <c r="E307" t="s">
        <v>34</v>
      </c>
    </row>
    <row r="308" spans="2:5" x14ac:dyDescent="0.25">
      <c r="B308">
        <v>306</v>
      </c>
      <c r="C308" s="2" t="s">
        <v>9</v>
      </c>
      <c r="D308" s="1">
        <v>44896</v>
      </c>
      <c r="E308" t="s">
        <v>11</v>
      </c>
    </row>
    <row r="309" spans="2:5" x14ac:dyDescent="0.25">
      <c r="B309">
        <v>307</v>
      </c>
      <c r="C309" s="2" t="s">
        <v>9</v>
      </c>
      <c r="D309" s="1">
        <v>44896</v>
      </c>
      <c r="E309" t="s">
        <v>6</v>
      </c>
    </row>
    <row r="310" spans="2:5" x14ac:dyDescent="0.25">
      <c r="B310">
        <v>308</v>
      </c>
      <c r="C310" s="2" t="s">
        <v>3</v>
      </c>
      <c r="D310" s="1">
        <v>44958</v>
      </c>
      <c r="E310" t="s">
        <v>4</v>
      </c>
    </row>
    <row r="311" spans="2:5" x14ac:dyDescent="0.25">
      <c r="B311">
        <v>309</v>
      </c>
      <c r="C311" s="2" t="s">
        <v>3</v>
      </c>
      <c r="D311" s="1">
        <v>45292</v>
      </c>
      <c r="E311" t="s">
        <v>6</v>
      </c>
    </row>
    <row r="312" spans="2:5" x14ac:dyDescent="0.25">
      <c r="B312">
        <v>310</v>
      </c>
      <c r="C312" s="2" t="s">
        <v>9</v>
      </c>
      <c r="D312" s="1">
        <v>41671</v>
      </c>
      <c r="E312" t="s">
        <v>6</v>
      </c>
    </row>
    <row r="313" spans="2:5" x14ac:dyDescent="0.25">
      <c r="B313">
        <v>311</v>
      </c>
      <c r="C313" s="2" t="s">
        <v>8</v>
      </c>
      <c r="D313" s="1">
        <v>41609</v>
      </c>
      <c r="E313" t="s">
        <v>6</v>
      </c>
    </row>
    <row r="314" spans="2:5" x14ac:dyDescent="0.25">
      <c r="B314">
        <v>312</v>
      </c>
      <c r="C314" s="2" t="s">
        <v>3</v>
      </c>
      <c r="D314" s="1">
        <v>43525</v>
      </c>
      <c r="E314" t="s">
        <v>6</v>
      </c>
    </row>
    <row r="315" spans="2:5" x14ac:dyDescent="0.25">
      <c r="B315">
        <v>313</v>
      </c>
      <c r="C315" s="2" t="s">
        <v>16</v>
      </c>
      <c r="D315" s="1">
        <v>43466</v>
      </c>
      <c r="E315" t="s">
        <v>6</v>
      </c>
    </row>
    <row r="316" spans="2:5" x14ac:dyDescent="0.25">
      <c r="B316">
        <v>314</v>
      </c>
      <c r="C316" s="2" t="s">
        <v>12</v>
      </c>
      <c r="D316" s="1">
        <v>43466</v>
      </c>
      <c r="E316" t="s">
        <v>6</v>
      </c>
    </row>
    <row r="317" spans="2:5" x14ac:dyDescent="0.25">
      <c r="B317">
        <v>315</v>
      </c>
      <c r="C317" s="2" t="s">
        <v>28</v>
      </c>
      <c r="D317" s="1">
        <v>41365</v>
      </c>
    </row>
    <row r="318" spans="2:5" x14ac:dyDescent="0.25">
      <c r="B318">
        <v>316</v>
      </c>
      <c r="C318" s="2" t="s">
        <v>3</v>
      </c>
      <c r="D318" s="1">
        <v>42856</v>
      </c>
      <c r="E318" t="s">
        <v>13</v>
      </c>
    </row>
    <row r="319" spans="2:5" x14ac:dyDescent="0.25">
      <c r="B319">
        <v>317</v>
      </c>
      <c r="C319" s="2" t="s">
        <v>16</v>
      </c>
      <c r="D319" s="1">
        <v>43252</v>
      </c>
      <c r="E319" t="s">
        <v>11</v>
      </c>
    </row>
    <row r="320" spans="2:5" x14ac:dyDescent="0.25">
      <c r="B320">
        <v>318</v>
      </c>
      <c r="C320" s="2" t="s">
        <v>8</v>
      </c>
      <c r="D320" s="1">
        <v>42005</v>
      </c>
      <c r="E320" t="s">
        <v>35</v>
      </c>
    </row>
    <row r="321" spans="2:5" x14ac:dyDescent="0.25">
      <c r="B321">
        <v>319</v>
      </c>
      <c r="C321" s="2" t="s">
        <v>16</v>
      </c>
      <c r="D321" s="1">
        <v>43800</v>
      </c>
      <c r="E321" t="s">
        <v>6</v>
      </c>
    </row>
    <row r="322" spans="2:5" x14ac:dyDescent="0.25">
      <c r="B322">
        <v>320</v>
      </c>
      <c r="C322" s="2" t="s">
        <v>8</v>
      </c>
      <c r="D322" s="1">
        <v>43556</v>
      </c>
      <c r="E322" t="s">
        <v>6</v>
      </c>
    </row>
    <row r="323" spans="2:5" x14ac:dyDescent="0.25">
      <c r="B323">
        <v>321</v>
      </c>
      <c r="C323" s="2" t="s">
        <v>9</v>
      </c>
      <c r="D323" s="1">
        <v>44075</v>
      </c>
      <c r="E323" t="s">
        <v>6</v>
      </c>
    </row>
    <row r="324" spans="2:5" x14ac:dyDescent="0.25">
      <c r="B324">
        <v>322</v>
      </c>
      <c r="C324" s="2" t="s">
        <v>9</v>
      </c>
      <c r="D324" s="1">
        <v>43374</v>
      </c>
      <c r="E324" t="s">
        <v>6</v>
      </c>
    </row>
    <row r="325" spans="2:5" x14ac:dyDescent="0.25">
      <c r="B325">
        <v>323</v>
      </c>
      <c r="C325" s="2" t="s">
        <v>5</v>
      </c>
      <c r="D325" s="1">
        <v>41365</v>
      </c>
      <c r="E325" t="s">
        <v>6</v>
      </c>
    </row>
    <row r="326" spans="2:5" x14ac:dyDescent="0.25">
      <c r="B326">
        <v>324</v>
      </c>
      <c r="C326" s="2" t="s">
        <v>8</v>
      </c>
      <c r="D326" s="1">
        <v>43831</v>
      </c>
      <c r="E326" t="s">
        <v>25</v>
      </c>
    </row>
    <row r="327" spans="2:5" x14ac:dyDescent="0.25">
      <c r="B327">
        <v>325</v>
      </c>
      <c r="C327" s="2" t="s">
        <v>8</v>
      </c>
      <c r="D327" s="1">
        <v>41365</v>
      </c>
    </row>
    <row r="328" spans="2:5" x14ac:dyDescent="0.25">
      <c r="B328">
        <v>326</v>
      </c>
      <c r="C328" s="2" t="s">
        <v>7</v>
      </c>
      <c r="D328" s="1">
        <v>42644</v>
      </c>
    </row>
    <row r="329" spans="2:5" x14ac:dyDescent="0.25">
      <c r="B329">
        <v>327</v>
      </c>
      <c r="C329" s="2" t="s">
        <v>3</v>
      </c>
      <c r="D329" s="1">
        <v>43862</v>
      </c>
      <c r="E329" t="s">
        <v>10</v>
      </c>
    </row>
    <row r="330" spans="2:5" x14ac:dyDescent="0.25">
      <c r="B330">
        <v>328</v>
      </c>
      <c r="C330" s="2" t="s">
        <v>8</v>
      </c>
      <c r="D330" s="1">
        <v>43344</v>
      </c>
      <c r="E330" t="s">
        <v>6</v>
      </c>
    </row>
    <row r="331" spans="2:5" x14ac:dyDescent="0.25">
      <c r="B331">
        <v>329</v>
      </c>
      <c r="C331" s="2" t="s">
        <v>9</v>
      </c>
      <c r="D331" s="1">
        <v>43191</v>
      </c>
      <c r="E331" t="s">
        <v>6</v>
      </c>
    </row>
    <row r="332" spans="2:5" x14ac:dyDescent="0.25">
      <c r="B332">
        <v>330</v>
      </c>
      <c r="C332" s="2" t="s">
        <v>3</v>
      </c>
      <c r="D332" s="1">
        <v>43556</v>
      </c>
    </row>
    <row r="333" spans="2:5" x14ac:dyDescent="0.25">
      <c r="B333">
        <v>331</v>
      </c>
      <c r="C333" s="2" t="s">
        <v>9</v>
      </c>
      <c r="D333" s="1">
        <v>43831</v>
      </c>
      <c r="E333" t="s">
        <v>6</v>
      </c>
    </row>
    <row r="334" spans="2:5" x14ac:dyDescent="0.25">
      <c r="B334">
        <v>332</v>
      </c>
      <c r="C334" s="2" t="s">
        <v>3</v>
      </c>
      <c r="D334" s="1">
        <v>43466</v>
      </c>
      <c r="E334" t="s">
        <v>6</v>
      </c>
    </row>
    <row r="335" spans="2:5" x14ac:dyDescent="0.25">
      <c r="B335">
        <v>333</v>
      </c>
      <c r="C335" s="2" t="s">
        <v>8</v>
      </c>
      <c r="D335" s="1">
        <v>45352</v>
      </c>
      <c r="E335" t="s">
        <v>11</v>
      </c>
    </row>
    <row r="336" spans="2:5" x14ac:dyDescent="0.25">
      <c r="B336">
        <v>334</v>
      </c>
      <c r="C336" s="2" t="s">
        <v>9</v>
      </c>
      <c r="D336" s="1">
        <v>41671</v>
      </c>
      <c r="E336" t="s">
        <v>10</v>
      </c>
    </row>
    <row r="337" spans="2:5" x14ac:dyDescent="0.25">
      <c r="B337">
        <v>335</v>
      </c>
      <c r="C337" s="2" t="s">
        <v>16</v>
      </c>
      <c r="D337" s="1">
        <v>41365</v>
      </c>
      <c r="E337" t="s">
        <v>6</v>
      </c>
    </row>
    <row r="338" spans="2:5" x14ac:dyDescent="0.25">
      <c r="B338">
        <v>336</v>
      </c>
      <c r="C338" s="2" t="s">
        <v>9</v>
      </c>
      <c r="D338" s="1">
        <v>43374</v>
      </c>
      <c r="E338" t="s">
        <v>6</v>
      </c>
    </row>
    <row r="339" spans="2:5" x14ac:dyDescent="0.25">
      <c r="B339">
        <v>337</v>
      </c>
      <c r="C339" s="2" t="s">
        <v>3</v>
      </c>
      <c r="D339" s="1">
        <v>43009</v>
      </c>
      <c r="E339" t="s">
        <v>13</v>
      </c>
    </row>
    <row r="340" spans="2:5" x14ac:dyDescent="0.25">
      <c r="B340">
        <v>338</v>
      </c>
      <c r="C340" s="2" t="s">
        <v>3</v>
      </c>
      <c r="D340" s="1">
        <v>44228</v>
      </c>
      <c r="E340" t="s">
        <v>6</v>
      </c>
    </row>
    <row r="341" spans="2:5" x14ac:dyDescent="0.25">
      <c r="B341">
        <v>339</v>
      </c>
      <c r="C341" s="2" t="s">
        <v>8</v>
      </c>
      <c r="D341" s="1">
        <v>42767</v>
      </c>
      <c r="E341" t="s">
        <v>6</v>
      </c>
    </row>
    <row r="342" spans="2:5" x14ac:dyDescent="0.25">
      <c r="B342">
        <v>340</v>
      </c>
      <c r="C342" s="2" t="s">
        <v>16</v>
      </c>
      <c r="D342" s="1">
        <v>44896</v>
      </c>
      <c r="E342" t="s">
        <v>10</v>
      </c>
    </row>
    <row r="343" spans="2:5" x14ac:dyDescent="0.25">
      <c r="B343">
        <v>341</v>
      </c>
      <c r="C343" s="2" t="s">
        <v>9</v>
      </c>
      <c r="D343" s="1">
        <v>44621</v>
      </c>
      <c r="E343" t="s">
        <v>6</v>
      </c>
    </row>
    <row r="344" spans="2:5" x14ac:dyDescent="0.25">
      <c r="B344">
        <v>342</v>
      </c>
      <c r="C344" s="2" t="s">
        <v>16</v>
      </c>
      <c r="D344" s="1">
        <v>43831</v>
      </c>
      <c r="E344" t="s">
        <v>22</v>
      </c>
    </row>
    <row r="345" spans="2:5" x14ac:dyDescent="0.25">
      <c r="B345">
        <v>343</v>
      </c>
      <c r="C345" s="2" t="s">
        <v>16</v>
      </c>
      <c r="D345" s="1">
        <v>41365</v>
      </c>
      <c r="E345" t="s">
        <v>6</v>
      </c>
    </row>
    <row r="346" spans="2:5" x14ac:dyDescent="0.25">
      <c r="B346">
        <v>344</v>
      </c>
      <c r="C346" s="2" t="s">
        <v>3</v>
      </c>
      <c r="D346" s="1">
        <v>45594</v>
      </c>
      <c r="E346" t="s">
        <v>32</v>
      </c>
    </row>
    <row r="347" spans="2:5" x14ac:dyDescent="0.25">
      <c r="B347">
        <v>345</v>
      </c>
      <c r="C347" s="2" t="s">
        <v>8</v>
      </c>
      <c r="D347" s="1">
        <v>41640</v>
      </c>
      <c r="E347" t="s">
        <v>11</v>
      </c>
    </row>
    <row r="348" spans="2:5" x14ac:dyDescent="0.25">
      <c r="B348">
        <v>346</v>
      </c>
      <c r="C348" s="2" t="s">
        <v>16</v>
      </c>
      <c r="D348" s="1">
        <v>41365</v>
      </c>
      <c r="E348" t="s">
        <v>6</v>
      </c>
    </row>
    <row r="349" spans="2:5" x14ac:dyDescent="0.25">
      <c r="B349">
        <v>347</v>
      </c>
      <c r="C349" s="2" t="s">
        <v>16</v>
      </c>
      <c r="D349" s="1">
        <v>41456</v>
      </c>
      <c r="E349" t="s">
        <v>6</v>
      </c>
    </row>
    <row r="350" spans="2:5" x14ac:dyDescent="0.25">
      <c r="B350">
        <v>348</v>
      </c>
      <c r="C350" s="2" t="s">
        <v>16</v>
      </c>
      <c r="D350" s="1">
        <v>44562</v>
      </c>
      <c r="E350" t="s">
        <v>6</v>
      </c>
    </row>
    <row r="351" spans="2:5" x14ac:dyDescent="0.25">
      <c r="B351">
        <v>349</v>
      </c>
      <c r="C351" s="2" t="s">
        <v>16</v>
      </c>
      <c r="D351" s="1">
        <v>44562</v>
      </c>
      <c r="E351" t="s">
        <v>6</v>
      </c>
    </row>
    <row r="352" spans="2:5" x14ac:dyDescent="0.25">
      <c r="B352">
        <v>350</v>
      </c>
      <c r="C352" s="2" t="s">
        <v>5</v>
      </c>
      <c r="D352" s="1">
        <v>43405</v>
      </c>
      <c r="E352" t="s">
        <v>6</v>
      </c>
    </row>
    <row r="353" spans="2:5" x14ac:dyDescent="0.25">
      <c r="B353">
        <v>351</v>
      </c>
      <c r="C353" s="2" t="s">
        <v>5</v>
      </c>
      <c r="D353" s="1">
        <v>43466</v>
      </c>
      <c r="E353" t="s">
        <v>6</v>
      </c>
    </row>
    <row r="354" spans="2:5" x14ac:dyDescent="0.25">
      <c r="B354">
        <v>352</v>
      </c>
      <c r="C354" s="2" t="s">
        <v>5</v>
      </c>
      <c r="D354" s="1">
        <v>43405</v>
      </c>
      <c r="E354" t="s">
        <v>6</v>
      </c>
    </row>
    <row r="355" spans="2:5" x14ac:dyDescent="0.25">
      <c r="B355">
        <v>353</v>
      </c>
      <c r="C355" s="2" t="s">
        <v>9</v>
      </c>
      <c r="D355" s="1">
        <v>45292</v>
      </c>
      <c r="E355" t="s">
        <v>6</v>
      </c>
    </row>
    <row r="356" spans="2:5" x14ac:dyDescent="0.25">
      <c r="B356">
        <v>354</v>
      </c>
      <c r="C356" s="2" t="s">
        <v>16</v>
      </c>
      <c r="D356" s="1">
        <v>41456</v>
      </c>
      <c r="E356" t="s">
        <v>6</v>
      </c>
    </row>
    <row r="357" spans="2:5" x14ac:dyDescent="0.25">
      <c r="B357">
        <v>355</v>
      </c>
      <c r="C357" s="2" t="s">
        <v>16</v>
      </c>
      <c r="D357" s="1">
        <v>42248</v>
      </c>
      <c r="E357" t="s">
        <v>6</v>
      </c>
    </row>
    <row r="358" spans="2:5" x14ac:dyDescent="0.25">
      <c r="B358">
        <v>356</v>
      </c>
      <c r="C358" s="2" t="s">
        <v>8</v>
      </c>
      <c r="D358" s="1">
        <v>41365</v>
      </c>
      <c r="E358" t="s">
        <v>10</v>
      </c>
    </row>
    <row r="359" spans="2:5" x14ac:dyDescent="0.25">
      <c r="B359">
        <v>357</v>
      </c>
      <c r="C359" s="2" t="s">
        <v>3</v>
      </c>
      <c r="D359" s="1">
        <v>43831</v>
      </c>
      <c r="E359" t="s">
        <v>13</v>
      </c>
    </row>
    <row r="360" spans="2:5" x14ac:dyDescent="0.25">
      <c r="B360">
        <v>358</v>
      </c>
      <c r="C360" s="2" t="s">
        <v>17</v>
      </c>
      <c r="D360" s="1">
        <v>44669</v>
      </c>
      <c r="E360" t="s">
        <v>6</v>
      </c>
    </row>
    <row r="361" spans="2:5" x14ac:dyDescent="0.25">
      <c r="B361">
        <v>359</v>
      </c>
      <c r="C361" s="2" t="s">
        <v>5</v>
      </c>
      <c r="D361" s="1">
        <v>43405</v>
      </c>
      <c r="E361" t="s">
        <v>6</v>
      </c>
    </row>
    <row r="362" spans="2:5" x14ac:dyDescent="0.25">
      <c r="B362">
        <v>360</v>
      </c>
      <c r="C362" s="2" t="s">
        <v>5</v>
      </c>
      <c r="D362" s="1">
        <v>44197</v>
      </c>
      <c r="E362" t="s">
        <v>6</v>
      </c>
    </row>
    <row r="363" spans="2:5" x14ac:dyDescent="0.25">
      <c r="B363">
        <v>361</v>
      </c>
      <c r="C363" s="2" t="s">
        <v>16</v>
      </c>
      <c r="D363" s="1">
        <v>41365</v>
      </c>
      <c r="E363" t="s">
        <v>6</v>
      </c>
    </row>
    <row r="364" spans="2:5" x14ac:dyDescent="0.25">
      <c r="B364">
        <v>362</v>
      </c>
      <c r="C364" s="2" t="s">
        <v>8</v>
      </c>
      <c r="D364" s="1">
        <v>43497</v>
      </c>
      <c r="E364" t="s">
        <v>6</v>
      </c>
    </row>
    <row r="365" spans="2:5" x14ac:dyDescent="0.25">
      <c r="B365">
        <v>363</v>
      </c>
      <c r="C365" s="2" t="s">
        <v>17</v>
      </c>
      <c r="D365" s="1">
        <v>44593</v>
      </c>
      <c r="E365" t="s">
        <v>14</v>
      </c>
    </row>
    <row r="366" spans="2:5" x14ac:dyDescent="0.25">
      <c r="B366">
        <v>364</v>
      </c>
      <c r="C366" s="2" t="s">
        <v>9</v>
      </c>
      <c r="D366" s="1">
        <v>41852</v>
      </c>
      <c r="E366" t="s">
        <v>11</v>
      </c>
    </row>
    <row r="367" spans="2:5" x14ac:dyDescent="0.25">
      <c r="B367">
        <v>365</v>
      </c>
      <c r="C367" s="2" t="s">
        <v>17</v>
      </c>
      <c r="D367" s="1">
        <v>43282</v>
      </c>
      <c r="E367" t="s">
        <v>6</v>
      </c>
    </row>
    <row r="368" spans="2:5" x14ac:dyDescent="0.25">
      <c r="B368">
        <v>366</v>
      </c>
      <c r="C368" s="2" t="s">
        <v>8</v>
      </c>
      <c r="D368" s="1">
        <v>45108</v>
      </c>
      <c r="E368" t="s">
        <v>14</v>
      </c>
    </row>
    <row r="369" spans="2:5" x14ac:dyDescent="0.25">
      <c r="B369">
        <v>367</v>
      </c>
      <c r="C369" s="2" t="s">
        <v>9</v>
      </c>
      <c r="D369" s="1">
        <v>41773</v>
      </c>
      <c r="E369" t="s">
        <v>11</v>
      </c>
    </row>
    <row r="370" spans="2:5" x14ac:dyDescent="0.25">
      <c r="B370">
        <v>368</v>
      </c>
      <c r="C370" s="2" t="s">
        <v>5</v>
      </c>
      <c r="D370" s="1">
        <v>45170</v>
      </c>
      <c r="E370" t="s">
        <v>6</v>
      </c>
    </row>
    <row r="371" spans="2:5" x14ac:dyDescent="0.25">
      <c r="B371">
        <v>369</v>
      </c>
      <c r="C371" s="2" t="s">
        <v>17</v>
      </c>
      <c r="D371" s="1">
        <v>44501</v>
      </c>
      <c r="E371" t="s">
        <v>14</v>
      </c>
    </row>
    <row r="372" spans="2:5" x14ac:dyDescent="0.25">
      <c r="B372">
        <v>370</v>
      </c>
      <c r="C372" s="2" t="s">
        <v>3</v>
      </c>
      <c r="D372" s="1">
        <v>45383</v>
      </c>
      <c r="E372" t="s">
        <v>10</v>
      </c>
    </row>
    <row r="373" spans="2:5" x14ac:dyDescent="0.25">
      <c r="B373">
        <v>371</v>
      </c>
      <c r="C373" s="2" t="s">
        <v>5</v>
      </c>
      <c r="D373" s="1">
        <v>41365</v>
      </c>
      <c r="E373" t="s">
        <v>6</v>
      </c>
    </row>
    <row r="374" spans="2:5" x14ac:dyDescent="0.25">
      <c r="B374">
        <v>372</v>
      </c>
      <c r="C374" s="2" t="s">
        <v>8</v>
      </c>
      <c r="D374" s="1">
        <v>41365</v>
      </c>
      <c r="E374" t="s">
        <v>6</v>
      </c>
    </row>
    <row r="375" spans="2:5" x14ac:dyDescent="0.25">
      <c r="B375">
        <v>373</v>
      </c>
      <c r="C375" s="2" t="s">
        <v>5</v>
      </c>
      <c r="D375" s="1">
        <v>43405</v>
      </c>
      <c r="E375" t="s">
        <v>11</v>
      </c>
    </row>
    <row r="376" spans="2:5" x14ac:dyDescent="0.25">
      <c r="B376">
        <v>374</v>
      </c>
      <c r="C376" s="2" t="s">
        <v>16</v>
      </c>
      <c r="D376" s="1">
        <v>41348</v>
      </c>
      <c r="E376" t="s">
        <v>22</v>
      </c>
    </row>
    <row r="377" spans="2:5" x14ac:dyDescent="0.25">
      <c r="B377">
        <v>375</v>
      </c>
      <c r="C377" s="2" t="s">
        <v>3</v>
      </c>
      <c r="D377" s="1">
        <v>43466</v>
      </c>
      <c r="E377" t="s">
        <v>13</v>
      </c>
    </row>
    <row r="378" spans="2:5" x14ac:dyDescent="0.25">
      <c r="B378">
        <v>376</v>
      </c>
      <c r="C378" s="2" t="s">
        <v>9</v>
      </c>
      <c r="D378" s="1">
        <v>42979</v>
      </c>
      <c r="E378" t="s">
        <v>6</v>
      </c>
    </row>
    <row r="379" spans="2:5" x14ac:dyDescent="0.25">
      <c r="B379">
        <v>377</v>
      </c>
      <c r="C379" s="2" t="s">
        <v>28</v>
      </c>
      <c r="D379" s="1">
        <v>41365</v>
      </c>
    </row>
    <row r="380" spans="2:5" x14ac:dyDescent="0.25">
      <c r="B380">
        <v>378</v>
      </c>
      <c r="C380" s="2" t="s">
        <v>8</v>
      </c>
      <c r="D380" s="1">
        <v>41579</v>
      </c>
      <c r="E380" t="s">
        <v>6</v>
      </c>
    </row>
    <row r="381" spans="2:5" x14ac:dyDescent="0.25">
      <c r="B381">
        <v>379</v>
      </c>
      <c r="C381" s="2" t="s">
        <v>9</v>
      </c>
      <c r="D381" s="1">
        <v>43374</v>
      </c>
      <c r="E381" t="s">
        <v>6</v>
      </c>
    </row>
    <row r="382" spans="2:5" x14ac:dyDescent="0.25">
      <c r="B382">
        <v>380</v>
      </c>
      <c r="C382" s="2" t="s">
        <v>8</v>
      </c>
      <c r="D382" s="1">
        <v>41365</v>
      </c>
      <c r="E382" t="s">
        <v>10</v>
      </c>
    </row>
    <row r="383" spans="2:5" x14ac:dyDescent="0.25">
      <c r="B383">
        <v>381</v>
      </c>
      <c r="C383" s="2" t="s">
        <v>8</v>
      </c>
      <c r="D383" s="1">
        <v>44136</v>
      </c>
      <c r="E383" t="s">
        <v>6</v>
      </c>
    </row>
    <row r="384" spans="2:5" x14ac:dyDescent="0.25">
      <c r="B384">
        <v>382</v>
      </c>
      <c r="C384" s="2" t="s">
        <v>8</v>
      </c>
      <c r="D384" s="1">
        <v>45292</v>
      </c>
      <c r="E384" t="s">
        <v>11</v>
      </c>
    </row>
    <row r="385" spans="2:5" x14ac:dyDescent="0.25">
      <c r="B385">
        <v>383</v>
      </c>
      <c r="C385" s="2" t="s">
        <v>8</v>
      </c>
      <c r="D385" s="1">
        <v>41395</v>
      </c>
    </row>
    <row r="386" spans="2:5" x14ac:dyDescent="0.25">
      <c r="B386">
        <v>384</v>
      </c>
      <c r="C386" s="2" t="s">
        <v>16</v>
      </c>
      <c r="D386" s="1">
        <v>44896</v>
      </c>
      <c r="E386" t="s">
        <v>6</v>
      </c>
    </row>
    <row r="387" spans="2:5" x14ac:dyDescent="0.25">
      <c r="B387">
        <v>385</v>
      </c>
      <c r="C387" s="2" t="s">
        <v>9</v>
      </c>
      <c r="D387" s="1">
        <v>44958</v>
      </c>
      <c r="E387" t="s">
        <v>6</v>
      </c>
    </row>
    <row r="388" spans="2:5" x14ac:dyDescent="0.25">
      <c r="B388">
        <v>386</v>
      </c>
      <c r="C388" s="2" t="s">
        <v>8</v>
      </c>
      <c r="D388" s="1">
        <v>43070</v>
      </c>
      <c r="E388" t="s">
        <v>6</v>
      </c>
    </row>
    <row r="389" spans="2:5" x14ac:dyDescent="0.25">
      <c r="B389">
        <v>387</v>
      </c>
      <c r="C389" s="2" t="s">
        <v>12</v>
      </c>
      <c r="D389" s="1">
        <v>45505</v>
      </c>
      <c r="E389" t="s">
        <v>6</v>
      </c>
    </row>
    <row r="390" spans="2:5" x14ac:dyDescent="0.25">
      <c r="B390">
        <v>388</v>
      </c>
      <c r="C390" s="2" t="s">
        <v>8</v>
      </c>
      <c r="D390" s="1">
        <v>43282</v>
      </c>
      <c r="E390" t="s">
        <v>6</v>
      </c>
    </row>
    <row r="391" spans="2:5" x14ac:dyDescent="0.25">
      <c r="B391">
        <v>389</v>
      </c>
      <c r="C391" s="2" t="s">
        <v>8</v>
      </c>
      <c r="D391" s="1">
        <v>43709</v>
      </c>
      <c r="E391" t="s">
        <v>13</v>
      </c>
    </row>
    <row r="392" spans="2:5" x14ac:dyDescent="0.25">
      <c r="B392">
        <v>390</v>
      </c>
      <c r="C392" s="2" t="s">
        <v>8</v>
      </c>
      <c r="D392" s="1">
        <v>41365</v>
      </c>
      <c r="E392" t="s">
        <v>11</v>
      </c>
    </row>
    <row r="393" spans="2:5" x14ac:dyDescent="0.25">
      <c r="B393">
        <v>391</v>
      </c>
      <c r="C393" s="2" t="s">
        <v>8</v>
      </c>
      <c r="D393" s="1">
        <v>41365</v>
      </c>
      <c r="E393" t="s">
        <v>6</v>
      </c>
    </row>
    <row r="394" spans="2:5" x14ac:dyDescent="0.25">
      <c r="B394">
        <v>392</v>
      </c>
      <c r="C394" s="2" t="s">
        <v>9</v>
      </c>
      <c r="D394" s="1">
        <v>43770</v>
      </c>
      <c r="E394" t="s">
        <v>6</v>
      </c>
    </row>
    <row r="395" spans="2:5" x14ac:dyDescent="0.25">
      <c r="B395">
        <v>393</v>
      </c>
      <c r="C395" s="2" t="s">
        <v>8</v>
      </c>
      <c r="D395" s="1">
        <v>44986</v>
      </c>
      <c r="E395" t="s">
        <v>24</v>
      </c>
    </row>
    <row r="396" spans="2:5" x14ac:dyDescent="0.25">
      <c r="B396">
        <v>394</v>
      </c>
      <c r="C396" s="2" t="s">
        <v>3</v>
      </c>
      <c r="D396" s="1">
        <v>45231</v>
      </c>
      <c r="E396" t="s">
        <v>13</v>
      </c>
    </row>
    <row r="397" spans="2:5" x14ac:dyDescent="0.25">
      <c r="B397">
        <v>395</v>
      </c>
      <c r="C397" s="2" t="s">
        <v>8</v>
      </c>
      <c r="D397" s="1">
        <v>41365</v>
      </c>
      <c r="E397" t="s">
        <v>4</v>
      </c>
    </row>
    <row r="398" spans="2:5" x14ac:dyDescent="0.25">
      <c r="B398">
        <v>396</v>
      </c>
      <c r="C398" s="2" t="s">
        <v>9</v>
      </c>
      <c r="D398" s="1">
        <v>41760</v>
      </c>
      <c r="E398" t="s">
        <v>6</v>
      </c>
    </row>
    <row r="399" spans="2:5" x14ac:dyDescent="0.25">
      <c r="B399">
        <v>397</v>
      </c>
      <c r="C399" s="2" t="s">
        <v>8</v>
      </c>
      <c r="D399" s="1">
        <v>43709</v>
      </c>
      <c r="E399" t="s">
        <v>6</v>
      </c>
    </row>
    <row r="400" spans="2:5" x14ac:dyDescent="0.25">
      <c r="B400">
        <v>398</v>
      </c>
      <c r="C400" s="2" t="s">
        <v>8</v>
      </c>
      <c r="D400" s="1">
        <v>43983</v>
      </c>
      <c r="E400" t="s">
        <v>6</v>
      </c>
    </row>
    <row r="401" spans="2:5" x14ac:dyDescent="0.25">
      <c r="B401">
        <v>399</v>
      </c>
      <c r="C401" s="2" t="s">
        <v>16</v>
      </c>
      <c r="D401" s="1">
        <v>44896</v>
      </c>
      <c r="E401" t="s">
        <v>11</v>
      </c>
    </row>
    <row r="402" spans="2:5" x14ac:dyDescent="0.25">
      <c r="B402">
        <v>400</v>
      </c>
      <c r="C402" s="2" t="s">
        <v>12</v>
      </c>
      <c r="D402" s="1">
        <v>44896</v>
      </c>
      <c r="E402" t="s">
        <v>6</v>
      </c>
    </row>
    <row r="403" spans="2:5" x14ac:dyDescent="0.25">
      <c r="B403">
        <v>401</v>
      </c>
      <c r="C403" s="2" t="s">
        <v>8</v>
      </c>
      <c r="D403" s="1">
        <v>41365</v>
      </c>
      <c r="E403" t="s">
        <v>10</v>
      </c>
    </row>
    <row r="404" spans="2:5" x14ac:dyDescent="0.25">
      <c r="B404">
        <v>402</v>
      </c>
      <c r="C404" s="2" t="s">
        <v>3</v>
      </c>
      <c r="D404" s="1">
        <v>42979</v>
      </c>
      <c r="E404" t="s">
        <v>13</v>
      </c>
    </row>
    <row r="405" spans="2:5" x14ac:dyDescent="0.25">
      <c r="B405">
        <v>403</v>
      </c>
      <c r="C405" s="2" t="s">
        <v>8</v>
      </c>
      <c r="D405" s="1">
        <v>43709</v>
      </c>
      <c r="E405" t="s">
        <v>6</v>
      </c>
    </row>
    <row r="406" spans="2:5" x14ac:dyDescent="0.25">
      <c r="B406">
        <v>404</v>
      </c>
      <c r="C406" s="2" t="s">
        <v>9</v>
      </c>
      <c r="D406" s="1">
        <v>41723</v>
      </c>
      <c r="E406" t="s">
        <v>6</v>
      </c>
    </row>
    <row r="407" spans="2:5" x14ac:dyDescent="0.25">
      <c r="B407">
        <v>405</v>
      </c>
      <c r="C407" s="2" t="s">
        <v>17</v>
      </c>
      <c r="D407" s="1">
        <v>45292</v>
      </c>
      <c r="E407" t="s">
        <v>22</v>
      </c>
    </row>
    <row r="408" spans="2:5" x14ac:dyDescent="0.25">
      <c r="B408">
        <v>406</v>
      </c>
      <c r="C408" s="2" t="s">
        <v>8</v>
      </c>
      <c r="D408" s="1">
        <v>41365</v>
      </c>
      <c r="E408" t="s">
        <v>4</v>
      </c>
    </row>
    <row r="409" spans="2:5" x14ac:dyDescent="0.25">
      <c r="B409">
        <v>407</v>
      </c>
      <c r="C409" s="2" t="s">
        <v>8</v>
      </c>
      <c r="D409" s="1">
        <v>42156</v>
      </c>
    </row>
    <row r="410" spans="2:5" x14ac:dyDescent="0.25">
      <c r="B410">
        <v>408</v>
      </c>
      <c r="C410" s="2" t="s">
        <v>8</v>
      </c>
      <c r="D410" s="1">
        <v>41365</v>
      </c>
      <c r="E410" t="s">
        <v>6</v>
      </c>
    </row>
    <row r="411" spans="2:5" x14ac:dyDescent="0.25">
      <c r="B411">
        <v>409</v>
      </c>
      <c r="C411" s="2" t="s">
        <v>8</v>
      </c>
      <c r="D411" s="1">
        <v>45474</v>
      </c>
      <c r="E411" t="s">
        <v>6</v>
      </c>
    </row>
    <row r="412" spans="2:5" x14ac:dyDescent="0.25">
      <c r="B412">
        <v>410</v>
      </c>
      <c r="C412" s="2" t="s">
        <v>9</v>
      </c>
      <c r="D412" s="1">
        <v>45627</v>
      </c>
      <c r="E412" t="s">
        <v>6</v>
      </c>
    </row>
    <row r="413" spans="2:5" x14ac:dyDescent="0.25">
      <c r="B413">
        <v>411</v>
      </c>
      <c r="C413" s="2" t="s">
        <v>16</v>
      </c>
      <c r="D413" s="1">
        <v>45170</v>
      </c>
      <c r="E413" t="s">
        <v>25</v>
      </c>
    </row>
    <row r="414" spans="2:5" x14ac:dyDescent="0.25">
      <c r="B414">
        <v>412</v>
      </c>
      <c r="C414" s="2" t="s">
        <v>16</v>
      </c>
      <c r="D414" s="1">
        <v>43435</v>
      </c>
      <c r="E414" t="s">
        <v>6</v>
      </c>
    </row>
    <row r="415" spans="2:5" x14ac:dyDescent="0.25">
      <c r="B415">
        <v>413</v>
      </c>
      <c r="C415" s="2" t="s">
        <v>8</v>
      </c>
      <c r="D415" s="1">
        <v>41395</v>
      </c>
      <c r="E415" t="s">
        <v>6</v>
      </c>
    </row>
    <row r="416" spans="2:5" x14ac:dyDescent="0.25">
      <c r="B416">
        <v>414</v>
      </c>
      <c r="C416" s="2" t="s">
        <v>9</v>
      </c>
      <c r="D416" s="1">
        <v>44866</v>
      </c>
      <c r="E416" t="s">
        <v>6</v>
      </c>
    </row>
    <row r="417" spans="2:5" x14ac:dyDescent="0.25">
      <c r="B417">
        <v>415</v>
      </c>
      <c r="C417" s="2" t="s">
        <v>17</v>
      </c>
      <c r="D417" s="1">
        <v>44682</v>
      </c>
      <c r="E417" t="s">
        <v>6</v>
      </c>
    </row>
    <row r="418" spans="2:5" x14ac:dyDescent="0.25">
      <c r="B418">
        <v>416</v>
      </c>
      <c r="C418" s="2" t="s">
        <v>16</v>
      </c>
      <c r="D418" s="1">
        <v>45231</v>
      </c>
      <c r="E418" t="s">
        <v>6</v>
      </c>
    </row>
    <row r="419" spans="2:5" x14ac:dyDescent="0.25">
      <c r="B419">
        <v>417</v>
      </c>
      <c r="C419" s="2" t="s">
        <v>9</v>
      </c>
      <c r="D419" s="1">
        <v>41974</v>
      </c>
      <c r="E419" t="s">
        <v>11</v>
      </c>
    </row>
    <row r="420" spans="2:5" x14ac:dyDescent="0.25">
      <c r="B420">
        <v>418</v>
      </c>
      <c r="C420" s="2" t="s">
        <v>9</v>
      </c>
      <c r="D420" s="1">
        <v>44958</v>
      </c>
      <c r="E420" t="s">
        <v>6</v>
      </c>
    </row>
    <row r="421" spans="2:5" x14ac:dyDescent="0.25">
      <c r="B421">
        <v>419</v>
      </c>
      <c r="C421" s="2" t="s">
        <v>8</v>
      </c>
      <c r="D421" s="1">
        <v>41395</v>
      </c>
      <c r="E421" t="s">
        <v>6</v>
      </c>
    </row>
    <row r="422" spans="2:5" x14ac:dyDescent="0.25">
      <c r="B422">
        <v>420</v>
      </c>
      <c r="C422" s="2" t="s">
        <v>5</v>
      </c>
      <c r="D422" s="1">
        <v>45616</v>
      </c>
      <c r="E422" t="s">
        <v>11</v>
      </c>
    </row>
    <row r="423" spans="2:5" x14ac:dyDescent="0.25">
      <c r="B423">
        <v>421</v>
      </c>
      <c r="C423" s="2" t="s">
        <v>5</v>
      </c>
      <c r="D423" s="1">
        <v>45505</v>
      </c>
      <c r="E423" t="s">
        <v>11</v>
      </c>
    </row>
    <row r="424" spans="2:5" x14ac:dyDescent="0.25">
      <c r="B424">
        <v>422</v>
      </c>
      <c r="C424" s="2" t="s">
        <v>3</v>
      </c>
      <c r="D424" s="1">
        <v>43101</v>
      </c>
      <c r="E424" t="s">
        <v>10</v>
      </c>
    </row>
    <row r="425" spans="2:5" x14ac:dyDescent="0.25">
      <c r="B425">
        <v>423</v>
      </c>
      <c r="C425" s="2" t="s">
        <v>9</v>
      </c>
      <c r="D425" s="1">
        <v>41671</v>
      </c>
      <c r="E425" t="s">
        <v>6</v>
      </c>
    </row>
    <row r="426" spans="2:5" x14ac:dyDescent="0.25">
      <c r="B426">
        <v>424</v>
      </c>
      <c r="C426" s="2" t="s">
        <v>9</v>
      </c>
      <c r="D426" s="1">
        <v>41671</v>
      </c>
      <c r="E426" t="s">
        <v>6</v>
      </c>
    </row>
    <row r="427" spans="2:5" x14ac:dyDescent="0.25">
      <c r="B427">
        <v>425</v>
      </c>
      <c r="C427" s="2" t="s">
        <v>12</v>
      </c>
      <c r="D427" s="1">
        <v>43556</v>
      </c>
      <c r="E427" t="s">
        <v>6</v>
      </c>
    </row>
    <row r="428" spans="2:5" x14ac:dyDescent="0.25">
      <c r="B428">
        <v>426</v>
      </c>
      <c r="C428" s="2" t="s">
        <v>8</v>
      </c>
      <c r="D428" s="1">
        <v>43497</v>
      </c>
      <c r="E428" t="s">
        <v>6</v>
      </c>
    </row>
    <row r="429" spans="2:5" x14ac:dyDescent="0.25">
      <c r="B429">
        <v>427</v>
      </c>
      <c r="C429" s="2" t="s">
        <v>3</v>
      </c>
      <c r="D429" s="1">
        <v>44562</v>
      </c>
      <c r="E429" t="s">
        <v>10</v>
      </c>
    </row>
    <row r="430" spans="2:5" x14ac:dyDescent="0.25">
      <c r="B430">
        <v>428</v>
      </c>
      <c r="C430" s="2" t="s">
        <v>5</v>
      </c>
      <c r="D430" s="1">
        <v>44562</v>
      </c>
      <c r="E430" t="s">
        <v>6</v>
      </c>
    </row>
    <row r="431" spans="2:5" x14ac:dyDescent="0.25">
      <c r="B431">
        <v>429</v>
      </c>
      <c r="C431" s="2" t="s">
        <v>8</v>
      </c>
      <c r="D431" s="1">
        <v>41487</v>
      </c>
      <c r="E431" t="s">
        <v>6</v>
      </c>
    </row>
    <row r="432" spans="2:5" x14ac:dyDescent="0.25">
      <c r="B432">
        <v>430</v>
      </c>
      <c r="C432" s="2" t="s">
        <v>3</v>
      </c>
      <c r="D432" s="1">
        <v>43040</v>
      </c>
      <c r="E432" t="s">
        <v>6</v>
      </c>
    </row>
    <row r="433" spans="2:5" x14ac:dyDescent="0.25">
      <c r="B433">
        <v>431</v>
      </c>
      <c r="C433" s="2" t="s">
        <v>16</v>
      </c>
      <c r="D433" s="1">
        <v>41365</v>
      </c>
      <c r="E433" t="s">
        <v>6</v>
      </c>
    </row>
    <row r="434" spans="2:5" x14ac:dyDescent="0.25">
      <c r="B434">
        <v>432</v>
      </c>
      <c r="C434" s="2" t="s">
        <v>17</v>
      </c>
      <c r="D434" s="1">
        <v>44652</v>
      </c>
      <c r="E434" t="s">
        <v>14</v>
      </c>
    </row>
    <row r="435" spans="2:5" x14ac:dyDescent="0.25">
      <c r="B435">
        <v>433</v>
      </c>
      <c r="C435" s="2" t="s">
        <v>8</v>
      </c>
      <c r="D435" s="1">
        <v>44197</v>
      </c>
      <c r="E435" t="s">
        <v>11</v>
      </c>
    </row>
    <row r="436" spans="2:5" x14ac:dyDescent="0.25">
      <c r="B436">
        <v>434</v>
      </c>
      <c r="C436" s="2" t="s">
        <v>5</v>
      </c>
      <c r="D436" s="1">
        <v>45597</v>
      </c>
      <c r="E436" t="s">
        <v>6</v>
      </c>
    </row>
    <row r="437" spans="2:5" x14ac:dyDescent="0.25">
      <c r="B437">
        <v>435</v>
      </c>
      <c r="C437" s="2" t="s">
        <v>3</v>
      </c>
      <c r="D437" s="1">
        <v>43009</v>
      </c>
      <c r="E437" t="s">
        <v>32</v>
      </c>
    </row>
    <row r="438" spans="2:5" x14ac:dyDescent="0.25">
      <c r="B438">
        <v>436</v>
      </c>
      <c r="C438" s="2" t="s">
        <v>16</v>
      </c>
      <c r="D438" s="1">
        <v>41365</v>
      </c>
      <c r="E438" t="s">
        <v>6</v>
      </c>
    </row>
    <row r="439" spans="2:5" x14ac:dyDescent="0.25">
      <c r="B439">
        <v>437</v>
      </c>
      <c r="C439" s="2" t="s">
        <v>9</v>
      </c>
      <c r="D439" s="1">
        <v>44713</v>
      </c>
      <c r="E439" t="s">
        <v>6</v>
      </c>
    </row>
    <row r="440" spans="2:5" x14ac:dyDescent="0.25">
      <c r="B440">
        <v>438</v>
      </c>
      <c r="C440" s="2" t="s">
        <v>16</v>
      </c>
      <c r="D440" s="1">
        <v>44960</v>
      </c>
      <c r="E440" t="s">
        <v>6</v>
      </c>
    </row>
    <row r="441" spans="2:5" x14ac:dyDescent="0.25">
      <c r="B441">
        <v>439</v>
      </c>
      <c r="C441" s="2" t="s">
        <v>8</v>
      </c>
      <c r="D441" s="1">
        <v>41365</v>
      </c>
      <c r="E441" t="s">
        <v>6</v>
      </c>
    </row>
    <row r="442" spans="2:5" x14ac:dyDescent="0.25">
      <c r="B442">
        <v>440</v>
      </c>
      <c r="C442" s="2" t="s">
        <v>8</v>
      </c>
      <c r="D442" s="1">
        <v>45292</v>
      </c>
      <c r="E442" t="s">
        <v>6</v>
      </c>
    </row>
    <row r="443" spans="2:5" x14ac:dyDescent="0.25">
      <c r="B443">
        <v>441</v>
      </c>
      <c r="C443" s="2" t="s">
        <v>8</v>
      </c>
      <c r="D443" s="1">
        <v>43709</v>
      </c>
      <c r="E443" t="s">
        <v>6</v>
      </c>
    </row>
    <row r="444" spans="2:5" x14ac:dyDescent="0.25">
      <c r="B444">
        <v>442</v>
      </c>
      <c r="C444" s="2" t="s">
        <v>28</v>
      </c>
      <c r="D444" s="1">
        <v>41365</v>
      </c>
    </row>
    <row r="445" spans="2:5" x14ac:dyDescent="0.25">
      <c r="B445">
        <v>443</v>
      </c>
      <c r="C445" s="2" t="s">
        <v>8</v>
      </c>
      <c r="D445" s="1">
        <v>43497</v>
      </c>
      <c r="E445" t="s">
        <v>6</v>
      </c>
    </row>
    <row r="446" spans="2:5" x14ac:dyDescent="0.25">
      <c r="B446">
        <v>444</v>
      </c>
      <c r="C446" s="2" t="s">
        <v>16</v>
      </c>
      <c r="D446" s="1">
        <v>43435</v>
      </c>
      <c r="E446" t="s">
        <v>6</v>
      </c>
    </row>
    <row r="447" spans="2:5" x14ac:dyDescent="0.25">
      <c r="B447">
        <v>445</v>
      </c>
      <c r="C447" s="2" t="s">
        <v>9</v>
      </c>
      <c r="D447" s="1">
        <v>45292</v>
      </c>
      <c r="E447" t="s">
        <v>6</v>
      </c>
    </row>
    <row r="448" spans="2:5" x14ac:dyDescent="0.25">
      <c r="B448">
        <v>446</v>
      </c>
      <c r="C448" s="2" t="s">
        <v>5</v>
      </c>
      <c r="D448" s="1">
        <v>45413</v>
      </c>
      <c r="E448" t="s">
        <v>6</v>
      </c>
    </row>
    <row r="449" spans="2:5" x14ac:dyDescent="0.25">
      <c r="B449">
        <v>447</v>
      </c>
      <c r="C449" s="2" t="s">
        <v>17</v>
      </c>
      <c r="D449" s="1">
        <v>43831</v>
      </c>
      <c r="E449" t="s">
        <v>10</v>
      </c>
    </row>
    <row r="450" spans="2:5" x14ac:dyDescent="0.25">
      <c r="B450">
        <v>448</v>
      </c>
      <c r="C450" s="2" t="s">
        <v>5</v>
      </c>
      <c r="D450" s="1">
        <v>44440</v>
      </c>
      <c r="E450" t="s">
        <v>14</v>
      </c>
    </row>
    <row r="451" spans="2:5" x14ac:dyDescent="0.25">
      <c r="B451">
        <v>449</v>
      </c>
      <c r="C451" s="2" t="s">
        <v>12</v>
      </c>
      <c r="D451" s="1">
        <v>45261</v>
      </c>
      <c r="E451" t="s">
        <v>11</v>
      </c>
    </row>
    <row r="452" spans="2:5" x14ac:dyDescent="0.25">
      <c r="B452">
        <v>450</v>
      </c>
      <c r="C452" s="2" t="s">
        <v>9</v>
      </c>
      <c r="D452" s="1">
        <v>43282</v>
      </c>
      <c r="E452" t="s">
        <v>6</v>
      </c>
    </row>
    <row r="453" spans="2:5" x14ac:dyDescent="0.25">
      <c r="B453">
        <v>451</v>
      </c>
      <c r="C453" s="2" t="s">
        <v>8</v>
      </c>
      <c r="D453" s="1">
        <v>41365</v>
      </c>
      <c r="E453" t="s">
        <v>4</v>
      </c>
    </row>
    <row r="454" spans="2:5" x14ac:dyDescent="0.25">
      <c r="B454">
        <v>452</v>
      </c>
      <c r="C454" s="2" t="s">
        <v>28</v>
      </c>
      <c r="D454" s="1">
        <v>44652</v>
      </c>
      <c r="E454" t="s">
        <v>24</v>
      </c>
    </row>
    <row r="455" spans="2:5" x14ac:dyDescent="0.25">
      <c r="B455">
        <v>453</v>
      </c>
      <c r="C455" s="2" t="s">
        <v>28</v>
      </c>
      <c r="D455" s="1">
        <v>43497</v>
      </c>
    </row>
    <row r="456" spans="2:5" x14ac:dyDescent="0.25">
      <c r="B456">
        <v>454</v>
      </c>
      <c r="C456" s="2" t="s">
        <v>8</v>
      </c>
      <c r="D456" s="1">
        <v>41365</v>
      </c>
      <c r="E456" t="s">
        <v>6</v>
      </c>
    </row>
    <row r="457" spans="2:5" x14ac:dyDescent="0.25">
      <c r="B457">
        <v>455</v>
      </c>
      <c r="C457" s="2" t="s">
        <v>8</v>
      </c>
      <c r="D457" s="1">
        <v>41609</v>
      </c>
      <c r="E457" t="s">
        <v>6</v>
      </c>
    </row>
    <row r="458" spans="2:5" x14ac:dyDescent="0.25">
      <c r="B458">
        <v>456</v>
      </c>
      <c r="C458" s="2" t="s">
        <v>8</v>
      </c>
      <c r="D458" s="1">
        <v>41365</v>
      </c>
      <c r="E458" t="s">
        <v>6</v>
      </c>
    </row>
    <row r="459" spans="2:5" x14ac:dyDescent="0.25">
      <c r="B459">
        <v>457</v>
      </c>
      <c r="C459" s="2" t="s">
        <v>17</v>
      </c>
      <c r="D459" s="1">
        <v>44652</v>
      </c>
      <c r="E459" t="s">
        <v>21</v>
      </c>
    </row>
    <row r="460" spans="2:5" x14ac:dyDescent="0.25">
      <c r="B460">
        <v>458</v>
      </c>
      <c r="C460" s="2" t="s">
        <v>17</v>
      </c>
      <c r="D460" s="1">
        <v>44593</v>
      </c>
      <c r="E460" t="s">
        <v>6</v>
      </c>
    </row>
    <row r="461" spans="2:5" x14ac:dyDescent="0.25">
      <c r="B461">
        <v>459</v>
      </c>
      <c r="C461" s="2" t="s">
        <v>3</v>
      </c>
      <c r="D461" s="1">
        <v>44228</v>
      </c>
      <c r="E461" t="s">
        <v>13</v>
      </c>
    </row>
    <row r="462" spans="2:5" x14ac:dyDescent="0.25">
      <c r="B462">
        <v>460</v>
      </c>
      <c r="C462" s="2" t="s">
        <v>9</v>
      </c>
      <c r="D462" s="1">
        <v>43466</v>
      </c>
      <c r="E462" t="s">
        <v>6</v>
      </c>
    </row>
    <row r="463" spans="2:5" x14ac:dyDescent="0.25">
      <c r="B463">
        <v>461</v>
      </c>
      <c r="C463" s="2" t="s">
        <v>5</v>
      </c>
      <c r="D463" s="1">
        <v>44986</v>
      </c>
      <c r="E463" t="s">
        <v>11</v>
      </c>
    </row>
    <row r="464" spans="2:5" x14ac:dyDescent="0.25">
      <c r="B464">
        <v>462</v>
      </c>
      <c r="C464" s="2" t="s">
        <v>3</v>
      </c>
      <c r="D464" s="1">
        <v>43862</v>
      </c>
      <c r="E464" t="s">
        <v>13</v>
      </c>
    </row>
    <row r="465" spans="2:5" x14ac:dyDescent="0.25">
      <c r="B465">
        <v>463</v>
      </c>
      <c r="C465" s="2" t="s">
        <v>3</v>
      </c>
      <c r="D465" s="1">
        <v>45597</v>
      </c>
      <c r="E465" t="s">
        <v>10</v>
      </c>
    </row>
    <row r="466" spans="2:5" x14ac:dyDescent="0.25">
      <c r="B466">
        <v>464</v>
      </c>
      <c r="C466" s="2" t="s">
        <v>17</v>
      </c>
      <c r="D466" s="1">
        <v>44927</v>
      </c>
      <c r="E466" t="s">
        <v>11</v>
      </c>
    </row>
    <row r="467" spans="2:5" x14ac:dyDescent="0.25">
      <c r="B467">
        <v>465</v>
      </c>
      <c r="C467" s="2" t="s">
        <v>8</v>
      </c>
      <c r="D467" s="1">
        <v>42522</v>
      </c>
      <c r="E467" t="s">
        <v>13</v>
      </c>
    </row>
    <row r="468" spans="2:5" x14ac:dyDescent="0.25">
      <c r="B468">
        <v>466</v>
      </c>
      <c r="C468" s="2" t="s">
        <v>8</v>
      </c>
      <c r="D468" s="1">
        <v>41365</v>
      </c>
      <c r="E468" t="s">
        <v>6</v>
      </c>
    </row>
    <row r="469" spans="2:5" x14ac:dyDescent="0.25">
      <c r="B469">
        <v>467</v>
      </c>
      <c r="C469" s="2" t="s">
        <v>5</v>
      </c>
      <c r="D469" s="1">
        <v>43862</v>
      </c>
      <c r="E469" t="s">
        <v>6</v>
      </c>
    </row>
    <row r="470" spans="2:5" x14ac:dyDescent="0.25">
      <c r="B470">
        <v>468</v>
      </c>
      <c r="C470" s="2" t="s">
        <v>17</v>
      </c>
      <c r="D470" s="1">
        <v>43831</v>
      </c>
      <c r="E470" t="s">
        <v>6</v>
      </c>
    </row>
    <row r="471" spans="2:5" x14ac:dyDescent="0.25">
      <c r="B471">
        <v>469</v>
      </c>
      <c r="C471" s="2" t="s">
        <v>8</v>
      </c>
      <c r="D471" s="1">
        <v>41365</v>
      </c>
      <c r="E471" t="s">
        <v>13</v>
      </c>
    </row>
    <row r="472" spans="2:5" x14ac:dyDescent="0.25">
      <c r="B472">
        <v>470</v>
      </c>
      <c r="C472" s="2" t="s">
        <v>5</v>
      </c>
      <c r="D472" s="1">
        <v>43800</v>
      </c>
      <c r="E472" t="s">
        <v>6</v>
      </c>
    </row>
    <row r="473" spans="2:5" x14ac:dyDescent="0.25">
      <c r="B473">
        <v>471</v>
      </c>
      <c r="C473" s="2" t="s">
        <v>8</v>
      </c>
      <c r="D473" s="1">
        <v>41365</v>
      </c>
    </row>
    <row r="474" spans="2:5" x14ac:dyDescent="0.25">
      <c r="B474">
        <v>472</v>
      </c>
      <c r="C474" s="2" t="s">
        <v>3</v>
      </c>
      <c r="D474" s="1">
        <v>45261</v>
      </c>
      <c r="E474" t="s">
        <v>10</v>
      </c>
    </row>
    <row r="475" spans="2:5" x14ac:dyDescent="0.25">
      <c r="B475">
        <v>473</v>
      </c>
      <c r="C475" s="2" t="s">
        <v>12</v>
      </c>
      <c r="D475" s="1">
        <v>44774</v>
      </c>
      <c r="E475" t="s">
        <v>6</v>
      </c>
    </row>
    <row r="476" spans="2:5" x14ac:dyDescent="0.25">
      <c r="B476">
        <v>474</v>
      </c>
      <c r="C476" s="2" t="s">
        <v>8</v>
      </c>
      <c r="D476" s="1">
        <v>41348</v>
      </c>
      <c r="E476" t="s">
        <v>34</v>
      </c>
    </row>
    <row r="477" spans="2:5" x14ac:dyDescent="0.25">
      <c r="B477">
        <v>475</v>
      </c>
      <c r="C477" s="2" t="s">
        <v>9</v>
      </c>
      <c r="D477" s="1">
        <v>44409</v>
      </c>
      <c r="E477" t="s">
        <v>6</v>
      </c>
    </row>
    <row r="478" spans="2:5" x14ac:dyDescent="0.25">
      <c r="B478">
        <v>476</v>
      </c>
      <c r="C478" s="2" t="s">
        <v>8</v>
      </c>
      <c r="D478" s="1">
        <v>41365</v>
      </c>
      <c r="E478" t="s">
        <v>6</v>
      </c>
    </row>
    <row r="479" spans="2:5" x14ac:dyDescent="0.25">
      <c r="B479">
        <v>477</v>
      </c>
      <c r="C479" s="2" t="s">
        <v>3</v>
      </c>
      <c r="D479" s="1">
        <v>43525</v>
      </c>
      <c r="E479" t="s">
        <v>6</v>
      </c>
    </row>
    <row r="480" spans="2:5" x14ac:dyDescent="0.25">
      <c r="B480">
        <v>478</v>
      </c>
      <c r="C480" s="2" t="s">
        <v>9</v>
      </c>
      <c r="D480" s="1">
        <v>43132</v>
      </c>
      <c r="E480" t="s">
        <v>6</v>
      </c>
    </row>
    <row r="481" spans="2:5" x14ac:dyDescent="0.25">
      <c r="B481">
        <v>479</v>
      </c>
      <c r="C481" s="2" t="s">
        <v>9</v>
      </c>
      <c r="D481" s="1">
        <v>43374</v>
      </c>
      <c r="E481" t="s">
        <v>6</v>
      </c>
    </row>
    <row r="482" spans="2:5" x14ac:dyDescent="0.25">
      <c r="B482">
        <v>480</v>
      </c>
      <c r="C482" s="2" t="s">
        <v>9</v>
      </c>
      <c r="D482" s="1">
        <v>43770</v>
      </c>
      <c r="E482" t="s">
        <v>6</v>
      </c>
    </row>
    <row r="483" spans="2:5" x14ac:dyDescent="0.25">
      <c r="B483">
        <v>481</v>
      </c>
      <c r="C483" s="2" t="s">
        <v>9</v>
      </c>
      <c r="D483" s="1">
        <v>44136</v>
      </c>
      <c r="E483" t="s">
        <v>6</v>
      </c>
    </row>
    <row r="484" spans="2:5" x14ac:dyDescent="0.25">
      <c r="B484">
        <v>482</v>
      </c>
      <c r="C484" s="2" t="s">
        <v>9</v>
      </c>
      <c r="D484" s="1">
        <v>43132</v>
      </c>
      <c r="E484" t="s">
        <v>6</v>
      </c>
    </row>
    <row r="485" spans="2:5" x14ac:dyDescent="0.25">
      <c r="B485">
        <v>483</v>
      </c>
      <c r="C485" s="2" t="s">
        <v>3</v>
      </c>
      <c r="D485" s="1">
        <v>45413</v>
      </c>
      <c r="E485" t="s">
        <v>13</v>
      </c>
    </row>
    <row r="486" spans="2:5" x14ac:dyDescent="0.25">
      <c r="B486">
        <v>484</v>
      </c>
      <c r="C486" s="2" t="s">
        <v>8</v>
      </c>
      <c r="D486" s="1">
        <v>41518</v>
      </c>
      <c r="E486" t="s">
        <v>35</v>
      </c>
    </row>
    <row r="487" spans="2:5" x14ac:dyDescent="0.25">
      <c r="B487">
        <v>485</v>
      </c>
      <c r="C487" s="2" t="s">
        <v>8</v>
      </c>
      <c r="D487" s="1">
        <v>43009</v>
      </c>
      <c r="E487" t="s">
        <v>27</v>
      </c>
    </row>
    <row r="488" spans="2:5" x14ac:dyDescent="0.25">
      <c r="B488">
        <v>486</v>
      </c>
      <c r="C488" s="2" t="s">
        <v>8</v>
      </c>
      <c r="D488" s="1">
        <v>43497</v>
      </c>
      <c r="E488" t="s">
        <v>6</v>
      </c>
    </row>
    <row r="489" spans="2:5" x14ac:dyDescent="0.25">
      <c r="B489">
        <v>487</v>
      </c>
      <c r="C489" s="2" t="s">
        <v>8</v>
      </c>
      <c r="D489" s="1">
        <v>43831</v>
      </c>
      <c r="E489" t="s">
        <v>6</v>
      </c>
    </row>
    <row r="490" spans="2:5" x14ac:dyDescent="0.25">
      <c r="B490">
        <v>488</v>
      </c>
      <c r="C490" s="2" t="s">
        <v>9</v>
      </c>
      <c r="D490" s="1">
        <v>43435</v>
      </c>
      <c r="E490" t="s">
        <v>6</v>
      </c>
    </row>
    <row r="491" spans="2:5" x14ac:dyDescent="0.25">
      <c r="B491">
        <v>489</v>
      </c>
      <c r="C491" s="2" t="s">
        <v>3</v>
      </c>
      <c r="D491" s="1">
        <v>44013</v>
      </c>
      <c r="E491" t="s">
        <v>6</v>
      </c>
    </row>
    <row r="492" spans="2:5" x14ac:dyDescent="0.25">
      <c r="B492">
        <v>490</v>
      </c>
      <c r="C492" s="2" t="s">
        <v>8</v>
      </c>
      <c r="D492" s="1">
        <v>41365</v>
      </c>
      <c r="E492" t="s">
        <v>6</v>
      </c>
    </row>
    <row r="493" spans="2:5" x14ac:dyDescent="0.25">
      <c r="B493">
        <v>491</v>
      </c>
      <c r="C493" s="2" t="s">
        <v>5</v>
      </c>
      <c r="D493" s="1">
        <v>43435</v>
      </c>
      <c r="E493" t="s">
        <v>6</v>
      </c>
    </row>
    <row r="494" spans="2:5" x14ac:dyDescent="0.25">
      <c r="B494">
        <v>492</v>
      </c>
      <c r="C494" s="2" t="s">
        <v>9</v>
      </c>
      <c r="D494" s="1">
        <v>42339</v>
      </c>
      <c r="E494" t="s">
        <v>6</v>
      </c>
    </row>
    <row r="495" spans="2:5" x14ac:dyDescent="0.25">
      <c r="B495">
        <v>493</v>
      </c>
      <c r="C495" s="2" t="s">
        <v>8</v>
      </c>
      <c r="D495" s="1">
        <v>42200</v>
      </c>
    </row>
    <row r="496" spans="2:5" x14ac:dyDescent="0.25">
      <c r="B496">
        <v>494</v>
      </c>
      <c r="C496" s="2" t="s">
        <v>5</v>
      </c>
      <c r="D496" s="1">
        <v>45170</v>
      </c>
      <c r="E496" t="s">
        <v>11</v>
      </c>
    </row>
    <row r="497" spans="2:5" x14ac:dyDescent="0.25">
      <c r="B497">
        <v>495</v>
      </c>
      <c r="C497" s="2" t="s">
        <v>16</v>
      </c>
      <c r="D497" s="1">
        <v>43435</v>
      </c>
      <c r="E497" t="s">
        <v>6</v>
      </c>
    </row>
    <row r="498" spans="2:5" x14ac:dyDescent="0.25">
      <c r="B498">
        <v>496</v>
      </c>
      <c r="C498" s="2" t="s">
        <v>5</v>
      </c>
      <c r="D498" s="1">
        <v>45210</v>
      </c>
      <c r="E498" t="s">
        <v>11</v>
      </c>
    </row>
    <row r="499" spans="2:5" x14ac:dyDescent="0.25">
      <c r="B499">
        <v>497</v>
      </c>
      <c r="C499" s="2" t="s">
        <v>17</v>
      </c>
      <c r="D499" s="1">
        <v>43952</v>
      </c>
      <c r="E499" t="s">
        <v>14</v>
      </c>
    </row>
    <row r="500" spans="2:5" x14ac:dyDescent="0.25">
      <c r="B500">
        <v>498</v>
      </c>
      <c r="C500" s="2" t="s">
        <v>8</v>
      </c>
      <c r="D500" s="1">
        <v>42089</v>
      </c>
      <c r="E500" t="s">
        <v>10</v>
      </c>
    </row>
    <row r="501" spans="2:5" x14ac:dyDescent="0.25">
      <c r="B501">
        <v>499</v>
      </c>
      <c r="C501" s="2" t="s">
        <v>9</v>
      </c>
      <c r="D501" s="1">
        <v>43466</v>
      </c>
      <c r="E501" t="s">
        <v>6</v>
      </c>
    </row>
    <row r="502" spans="2:5" x14ac:dyDescent="0.25">
      <c r="B502">
        <v>500</v>
      </c>
      <c r="C502" s="2" t="s">
        <v>5</v>
      </c>
      <c r="D502" s="1">
        <v>43405</v>
      </c>
      <c r="E502" t="s">
        <v>6</v>
      </c>
    </row>
    <row r="503" spans="2:5" x14ac:dyDescent="0.25">
      <c r="B503">
        <v>501</v>
      </c>
      <c r="C503" s="2" t="s">
        <v>16</v>
      </c>
      <c r="D503" s="1">
        <v>44228</v>
      </c>
      <c r="E503" t="s">
        <v>14</v>
      </c>
    </row>
    <row r="504" spans="2:5" x14ac:dyDescent="0.25">
      <c r="B504">
        <v>502</v>
      </c>
      <c r="C504" s="2" t="s">
        <v>3</v>
      </c>
      <c r="D504" s="1">
        <v>44409</v>
      </c>
      <c r="E504" t="s">
        <v>32</v>
      </c>
    </row>
    <row r="505" spans="2:5" x14ac:dyDescent="0.25">
      <c r="B505">
        <v>503</v>
      </c>
      <c r="C505" s="2" t="s">
        <v>8</v>
      </c>
      <c r="D505" s="1">
        <v>41365</v>
      </c>
      <c r="E505" t="s">
        <v>4</v>
      </c>
    </row>
    <row r="506" spans="2:5" x14ac:dyDescent="0.25">
      <c r="B506">
        <v>504</v>
      </c>
      <c r="C506" s="2" t="s">
        <v>3</v>
      </c>
      <c r="D506" s="1">
        <v>45597</v>
      </c>
      <c r="E506" t="s">
        <v>10</v>
      </c>
    </row>
    <row r="507" spans="2:5" x14ac:dyDescent="0.25">
      <c r="B507">
        <v>505</v>
      </c>
      <c r="C507" s="2" t="s">
        <v>9</v>
      </c>
      <c r="D507" s="1">
        <v>41365</v>
      </c>
      <c r="E507" t="s">
        <v>6</v>
      </c>
    </row>
    <row r="508" spans="2:5" x14ac:dyDescent="0.25">
      <c r="B508">
        <v>506</v>
      </c>
      <c r="C508" s="2" t="s">
        <v>8</v>
      </c>
      <c r="D508" s="1">
        <v>41548</v>
      </c>
      <c r="E508" t="s">
        <v>11</v>
      </c>
    </row>
    <row r="509" spans="2:5" x14ac:dyDescent="0.25">
      <c r="B509">
        <v>507</v>
      </c>
      <c r="C509" s="2" t="s">
        <v>28</v>
      </c>
      <c r="D509" s="1">
        <v>41348</v>
      </c>
      <c r="E509" t="s">
        <v>20</v>
      </c>
    </row>
    <row r="510" spans="2:5" x14ac:dyDescent="0.25">
      <c r="B510">
        <v>508</v>
      </c>
      <c r="C510" s="2" t="s">
        <v>8</v>
      </c>
      <c r="D510" s="1">
        <v>41395</v>
      </c>
      <c r="E510" t="s">
        <v>6</v>
      </c>
    </row>
    <row r="511" spans="2:5" x14ac:dyDescent="0.25">
      <c r="B511">
        <v>509</v>
      </c>
      <c r="C511" s="2" t="s">
        <v>3</v>
      </c>
      <c r="D511" s="1">
        <v>42979</v>
      </c>
      <c r="E511" t="s">
        <v>13</v>
      </c>
    </row>
    <row r="512" spans="2:5" x14ac:dyDescent="0.25">
      <c r="B512">
        <v>510</v>
      </c>
      <c r="C512" s="2" t="s">
        <v>9</v>
      </c>
      <c r="D512" s="1">
        <v>43617</v>
      </c>
      <c r="E512" t="s">
        <v>6</v>
      </c>
    </row>
    <row r="513" spans="2:5" x14ac:dyDescent="0.25">
      <c r="B513">
        <v>511</v>
      </c>
      <c r="C513" s="2" t="s">
        <v>17</v>
      </c>
      <c r="D513" s="1">
        <v>43831</v>
      </c>
      <c r="E513" t="s">
        <v>6</v>
      </c>
    </row>
    <row r="514" spans="2:5" x14ac:dyDescent="0.25">
      <c r="B514">
        <v>512</v>
      </c>
      <c r="C514" s="2" t="s">
        <v>16</v>
      </c>
      <c r="D514" s="1">
        <v>41365</v>
      </c>
      <c r="E514" t="s">
        <v>10</v>
      </c>
    </row>
    <row r="515" spans="2:5" x14ac:dyDescent="0.25">
      <c r="B515">
        <v>513</v>
      </c>
      <c r="C515" s="2" t="s">
        <v>5</v>
      </c>
      <c r="D515" s="1">
        <v>41365</v>
      </c>
      <c r="E515" t="s">
        <v>6</v>
      </c>
    </row>
    <row r="516" spans="2:5" x14ac:dyDescent="0.25">
      <c r="B516">
        <v>514</v>
      </c>
      <c r="C516" s="2" t="s">
        <v>8</v>
      </c>
      <c r="D516" s="1">
        <v>41365</v>
      </c>
      <c r="E516" t="s">
        <v>4</v>
      </c>
    </row>
    <row r="517" spans="2:5" x14ac:dyDescent="0.25">
      <c r="B517">
        <v>515</v>
      </c>
      <c r="C517" s="2" t="s">
        <v>16</v>
      </c>
      <c r="D517" s="1">
        <v>41365</v>
      </c>
      <c r="E517" t="s">
        <v>10</v>
      </c>
    </row>
    <row r="518" spans="2:5" x14ac:dyDescent="0.25">
      <c r="B518">
        <v>516</v>
      </c>
      <c r="C518" s="2" t="s">
        <v>8</v>
      </c>
      <c r="D518" s="1">
        <v>45658</v>
      </c>
      <c r="E518" t="s">
        <v>36</v>
      </c>
    </row>
    <row r="519" spans="2:5" x14ac:dyDescent="0.25">
      <c r="B519">
        <v>517</v>
      </c>
      <c r="C519" s="2" t="s">
        <v>8</v>
      </c>
      <c r="D519" s="1">
        <v>45689</v>
      </c>
      <c r="E519" t="s">
        <v>26</v>
      </c>
    </row>
    <row r="520" spans="2:5" x14ac:dyDescent="0.25">
      <c r="B520">
        <v>518</v>
      </c>
      <c r="C520" s="2" t="s">
        <v>5</v>
      </c>
      <c r="D520" s="1">
        <v>45689</v>
      </c>
      <c r="E520" t="s">
        <v>6</v>
      </c>
    </row>
    <row r="521" spans="2:5" x14ac:dyDescent="0.25">
      <c r="B521">
        <v>519</v>
      </c>
      <c r="C521" s="2" t="s">
        <v>3</v>
      </c>
      <c r="D521" s="1">
        <v>45658</v>
      </c>
      <c r="E521" t="s">
        <v>13</v>
      </c>
    </row>
    <row r="522" spans="2:5" x14ac:dyDescent="0.25">
      <c r="B522">
        <v>520</v>
      </c>
      <c r="C522" s="2" t="s">
        <v>8</v>
      </c>
      <c r="D522" s="1">
        <v>45658</v>
      </c>
      <c r="E522" t="s">
        <v>37</v>
      </c>
    </row>
    <row r="523" spans="2:5" x14ac:dyDescent="0.25">
      <c r="B523">
        <v>521</v>
      </c>
      <c r="C523" s="2" t="s">
        <v>8</v>
      </c>
      <c r="D523" s="1">
        <v>45658</v>
      </c>
      <c r="E523" t="s">
        <v>37</v>
      </c>
    </row>
    <row r="524" spans="2:5" x14ac:dyDescent="0.25">
      <c r="B524">
        <v>522</v>
      </c>
      <c r="C524" s="2" t="s">
        <v>8</v>
      </c>
      <c r="D524" s="1">
        <v>45689</v>
      </c>
      <c r="E524" t="s">
        <v>10</v>
      </c>
    </row>
    <row r="525" spans="2:5" x14ac:dyDescent="0.25">
      <c r="B525">
        <v>523</v>
      </c>
      <c r="C525" s="2" t="s">
        <v>17</v>
      </c>
      <c r="D525" s="1">
        <v>45689</v>
      </c>
      <c r="E525" t="s">
        <v>36</v>
      </c>
    </row>
    <row r="526" spans="2:5" x14ac:dyDescent="0.25">
      <c r="B526">
        <v>524</v>
      </c>
      <c r="C526" s="2" t="s">
        <v>3</v>
      </c>
      <c r="D526" s="1">
        <v>42852</v>
      </c>
      <c r="E526" t="s">
        <v>4</v>
      </c>
    </row>
    <row r="527" spans="2:5" x14ac:dyDescent="0.25">
      <c r="B527">
        <v>525</v>
      </c>
      <c r="C527" s="2" t="s">
        <v>3</v>
      </c>
      <c r="D527" s="1">
        <v>42852</v>
      </c>
      <c r="E527" t="s">
        <v>13</v>
      </c>
    </row>
    <row r="528" spans="2:5" x14ac:dyDescent="0.25">
      <c r="B528">
        <v>526</v>
      </c>
      <c r="C528" s="2" t="s">
        <v>3</v>
      </c>
      <c r="D528" s="1">
        <v>42852</v>
      </c>
      <c r="E528" t="s">
        <v>6</v>
      </c>
    </row>
    <row r="529" spans="2:5" x14ac:dyDescent="0.25">
      <c r="B529">
        <v>527</v>
      </c>
      <c r="C529" s="2" t="s">
        <v>3</v>
      </c>
      <c r="D529" s="1">
        <v>42852</v>
      </c>
      <c r="E529" t="s">
        <v>10</v>
      </c>
    </row>
    <row r="530" spans="2:5" x14ac:dyDescent="0.25">
      <c r="B530">
        <v>528</v>
      </c>
      <c r="C530" s="2" t="s">
        <v>3</v>
      </c>
      <c r="D530" s="1">
        <v>42852</v>
      </c>
      <c r="E530" t="s">
        <v>13</v>
      </c>
    </row>
    <row r="531" spans="2:5" x14ac:dyDescent="0.25">
      <c r="B531">
        <v>529</v>
      </c>
      <c r="C531" s="2" t="s">
        <v>3</v>
      </c>
      <c r="D531" s="1">
        <v>42852</v>
      </c>
    </row>
    <row r="532" spans="2:5" x14ac:dyDescent="0.25">
      <c r="B532">
        <v>530</v>
      </c>
      <c r="C532" s="2" t="s">
        <v>3</v>
      </c>
      <c r="D532" s="1">
        <v>42852</v>
      </c>
      <c r="E532" t="s">
        <v>10</v>
      </c>
    </row>
    <row r="533" spans="2:5" x14ac:dyDescent="0.25">
      <c r="B533">
        <v>531</v>
      </c>
      <c r="C533" s="2" t="s">
        <v>3</v>
      </c>
      <c r="D533" s="1">
        <v>42852</v>
      </c>
    </row>
    <row r="534" spans="2:5" x14ac:dyDescent="0.25">
      <c r="B534">
        <v>532</v>
      </c>
      <c r="C534" s="2" t="s">
        <v>3</v>
      </c>
      <c r="D534" s="1">
        <v>42852</v>
      </c>
      <c r="E534" t="s">
        <v>13</v>
      </c>
    </row>
    <row r="535" spans="2:5" x14ac:dyDescent="0.25">
      <c r="B535">
        <v>533</v>
      </c>
      <c r="C535" s="2" t="s">
        <v>3</v>
      </c>
      <c r="D535" s="1">
        <v>42852</v>
      </c>
      <c r="E535" t="s">
        <v>10</v>
      </c>
    </row>
    <row r="536" spans="2:5" x14ac:dyDescent="0.25">
      <c r="B536">
        <v>534</v>
      </c>
      <c r="C536" s="2" t="s">
        <v>3</v>
      </c>
      <c r="D536" s="1">
        <v>42852</v>
      </c>
    </row>
    <row r="537" spans="2:5" x14ac:dyDescent="0.25">
      <c r="B537">
        <v>535</v>
      </c>
      <c r="C537" s="2" t="s">
        <v>3</v>
      </c>
      <c r="D537" s="1">
        <v>42852</v>
      </c>
    </row>
    <row r="538" spans="2:5" x14ac:dyDescent="0.25">
      <c r="B538">
        <v>536</v>
      </c>
      <c r="C538" s="2" t="s">
        <v>3</v>
      </c>
      <c r="D538" s="1">
        <v>42852</v>
      </c>
      <c r="E538" t="s">
        <v>6</v>
      </c>
    </row>
    <row r="539" spans="2:5" x14ac:dyDescent="0.25">
      <c r="B539">
        <v>537</v>
      </c>
      <c r="C539" s="2" t="s">
        <v>3</v>
      </c>
      <c r="D539" s="1">
        <v>42852</v>
      </c>
    </row>
    <row r="540" spans="2:5" x14ac:dyDescent="0.25">
      <c r="B540">
        <v>538</v>
      </c>
      <c r="C540" s="2" t="s">
        <v>3</v>
      </c>
      <c r="D540" s="1">
        <v>42852</v>
      </c>
      <c r="E540" t="s">
        <v>4</v>
      </c>
    </row>
    <row r="541" spans="2:5" x14ac:dyDescent="0.25">
      <c r="B541">
        <v>539</v>
      </c>
      <c r="C541" s="2" t="s">
        <v>3</v>
      </c>
      <c r="D541" s="1">
        <v>42852</v>
      </c>
      <c r="E541" t="s">
        <v>10</v>
      </c>
    </row>
    <row r="542" spans="2:5" x14ac:dyDescent="0.25">
      <c r="B542">
        <v>540</v>
      </c>
      <c r="C542" s="2" t="s">
        <v>3</v>
      </c>
      <c r="D542" s="1">
        <v>42852</v>
      </c>
    </row>
    <row r="543" spans="2:5" x14ac:dyDescent="0.25">
      <c r="B543">
        <v>541</v>
      </c>
      <c r="C543" s="2" t="s">
        <v>3</v>
      </c>
      <c r="D543" s="1">
        <v>42852</v>
      </c>
      <c r="E543" t="s">
        <v>10</v>
      </c>
    </row>
    <row r="544" spans="2:5" x14ac:dyDescent="0.25">
      <c r="B544">
        <v>542</v>
      </c>
      <c r="C544" s="2" t="s">
        <v>3</v>
      </c>
      <c r="D544" s="1">
        <v>42852</v>
      </c>
      <c r="E544" t="s">
        <v>4</v>
      </c>
    </row>
    <row r="545" spans="2:5" x14ac:dyDescent="0.25">
      <c r="B545">
        <v>543</v>
      </c>
      <c r="C545" s="2" t="s">
        <v>3</v>
      </c>
      <c r="D545" s="1">
        <v>42852</v>
      </c>
      <c r="E545" t="s">
        <v>10</v>
      </c>
    </row>
    <row r="546" spans="2:5" x14ac:dyDescent="0.25">
      <c r="B546">
        <v>544</v>
      </c>
      <c r="C546" s="2" t="s">
        <v>3</v>
      </c>
      <c r="D546" s="1">
        <v>42852</v>
      </c>
      <c r="E546" t="s">
        <v>4</v>
      </c>
    </row>
    <row r="547" spans="2:5" x14ac:dyDescent="0.25">
      <c r="B547">
        <v>545</v>
      </c>
      <c r="C547" s="2" t="s">
        <v>3</v>
      </c>
      <c r="D547" s="1">
        <v>42852</v>
      </c>
      <c r="E547" t="s">
        <v>4</v>
      </c>
    </row>
    <row r="548" spans="2:5" x14ac:dyDescent="0.25">
      <c r="B548">
        <v>546</v>
      </c>
      <c r="C548" s="2" t="s">
        <v>3</v>
      </c>
      <c r="D548" s="1">
        <v>42852</v>
      </c>
      <c r="E548" t="s">
        <v>13</v>
      </c>
    </row>
    <row r="549" spans="2:5" x14ac:dyDescent="0.25">
      <c r="B549">
        <v>547</v>
      </c>
      <c r="C549" s="2" t="s">
        <v>3</v>
      </c>
      <c r="D549" s="1">
        <v>42852</v>
      </c>
      <c r="E549" t="s">
        <v>4</v>
      </c>
    </row>
    <row r="550" spans="2:5" x14ac:dyDescent="0.25">
      <c r="B550">
        <v>548</v>
      </c>
      <c r="C550" s="2" t="s">
        <v>3</v>
      </c>
      <c r="D550" s="1">
        <v>42852</v>
      </c>
      <c r="E550" t="s">
        <v>4</v>
      </c>
    </row>
    <row r="551" spans="2:5" x14ac:dyDescent="0.25">
      <c r="B551">
        <v>549</v>
      </c>
      <c r="C551" s="2" t="s">
        <v>3</v>
      </c>
      <c r="D551" s="1">
        <v>42852</v>
      </c>
    </row>
    <row r="552" spans="2:5" x14ac:dyDescent="0.25">
      <c r="B552">
        <v>550</v>
      </c>
      <c r="C552" s="2" t="s">
        <v>3</v>
      </c>
      <c r="D552" s="1">
        <v>42852</v>
      </c>
      <c r="E552" t="s">
        <v>6</v>
      </c>
    </row>
    <row r="553" spans="2:5" x14ac:dyDescent="0.25">
      <c r="B553">
        <v>551</v>
      </c>
      <c r="C553" s="2" t="s">
        <v>3</v>
      </c>
      <c r="D553" s="1">
        <v>42852</v>
      </c>
      <c r="E553" t="s">
        <v>4</v>
      </c>
    </row>
    <row r="554" spans="2:5" x14ac:dyDescent="0.25">
      <c r="B554">
        <v>552</v>
      </c>
      <c r="C554" s="2" t="s">
        <v>3</v>
      </c>
      <c r="D554" s="1">
        <v>42852</v>
      </c>
      <c r="E554" t="s">
        <v>6</v>
      </c>
    </row>
    <row r="555" spans="2:5" x14ac:dyDescent="0.25">
      <c r="B555">
        <v>553</v>
      </c>
      <c r="C555" s="2" t="s">
        <v>3</v>
      </c>
      <c r="D555" s="1">
        <v>42852</v>
      </c>
      <c r="E555" t="s">
        <v>4</v>
      </c>
    </row>
    <row r="556" spans="2:5" x14ac:dyDescent="0.25">
      <c r="B556">
        <v>554</v>
      </c>
      <c r="C556" s="2" t="s">
        <v>3</v>
      </c>
      <c r="D556" s="1">
        <v>42852</v>
      </c>
      <c r="E556" t="s">
        <v>6</v>
      </c>
    </row>
    <row r="557" spans="2:5" x14ac:dyDescent="0.25">
      <c r="B557">
        <v>555</v>
      </c>
      <c r="C557" s="2" t="s">
        <v>3</v>
      </c>
      <c r="D557" s="1">
        <v>42852</v>
      </c>
      <c r="E557" t="s">
        <v>10</v>
      </c>
    </row>
    <row r="558" spans="2:5" x14ac:dyDescent="0.25">
      <c r="B558">
        <v>556</v>
      </c>
      <c r="C558" s="2" t="s">
        <v>3</v>
      </c>
      <c r="D558" s="1">
        <v>42852</v>
      </c>
    </row>
    <row r="559" spans="2:5" x14ac:dyDescent="0.25">
      <c r="B559">
        <v>557</v>
      </c>
      <c r="C559" s="2" t="s">
        <v>3</v>
      </c>
      <c r="D559" s="1">
        <v>42852</v>
      </c>
      <c r="E559" t="s">
        <v>13</v>
      </c>
    </row>
    <row r="560" spans="2:5" x14ac:dyDescent="0.25">
      <c r="B560">
        <v>558</v>
      </c>
      <c r="C560" s="2" t="s">
        <v>3</v>
      </c>
      <c r="D560" s="1">
        <v>42852</v>
      </c>
      <c r="E560" t="s">
        <v>10</v>
      </c>
    </row>
    <row r="561" spans="2:5" x14ac:dyDescent="0.25">
      <c r="B561">
        <v>559</v>
      </c>
      <c r="C561" s="2" t="s">
        <v>3</v>
      </c>
      <c r="D561" s="1">
        <v>42852</v>
      </c>
    </row>
    <row r="562" spans="2:5" x14ac:dyDescent="0.25">
      <c r="B562">
        <v>560</v>
      </c>
      <c r="C562" s="2" t="s">
        <v>3</v>
      </c>
      <c r="D562" s="1">
        <v>42852</v>
      </c>
    </row>
    <row r="563" spans="2:5" x14ac:dyDescent="0.25">
      <c r="B563">
        <v>561</v>
      </c>
      <c r="C563" s="2" t="s">
        <v>3</v>
      </c>
      <c r="D563" s="1">
        <v>42852</v>
      </c>
    </row>
    <row r="564" spans="2:5" x14ac:dyDescent="0.25">
      <c r="B564">
        <v>562</v>
      </c>
      <c r="C564" s="2" t="s">
        <v>3</v>
      </c>
      <c r="D564" s="1">
        <v>42852</v>
      </c>
    </row>
    <row r="565" spans="2:5" x14ac:dyDescent="0.25">
      <c r="B565">
        <v>563</v>
      </c>
      <c r="C565" s="2" t="s">
        <v>3</v>
      </c>
      <c r="D565" s="1">
        <v>42852</v>
      </c>
      <c r="E565" t="s">
        <v>10</v>
      </c>
    </row>
    <row r="566" spans="2:5" x14ac:dyDescent="0.25">
      <c r="B566">
        <v>564</v>
      </c>
      <c r="C566" s="2" t="s">
        <v>3</v>
      </c>
      <c r="D566" s="1">
        <v>42852</v>
      </c>
      <c r="E566" t="s">
        <v>13</v>
      </c>
    </row>
    <row r="567" spans="2:5" x14ac:dyDescent="0.25">
      <c r="B567">
        <v>565</v>
      </c>
      <c r="C567" s="2" t="s">
        <v>3</v>
      </c>
      <c r="D567" s="1">
        <v>42852</v>
      </c>
      <c r="E567" t="s">
        <v>10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632AE-441C-403F-B179-5FF5883224E0}">
  <dimension ref="B2:P54"/>
  <sheetViews>
    <sheetView tabSelected="1" topLeftCell="A19" zoomScale="70" zoomScaleNormal="70" workbookViewId="0">
      <selection activeCell="R31" sqref="R31"/>
    </sheetView>
  </sheetViews>
  <sheetFormatPr defaultRowHeight="15" x14ac:dyDescent="0.25"/>
  <cols>
    <col min="2" max="2" width="16.5703125" bestFit="1" customWidth="1"/>
    <col min="3" max="3" width="9.7109375" bestFit="1" customWidth="1"/>
    <col min="4" max="4" width="15.28515625" bestFit="1" customWidth="1"/>
    <col min="5" max="5" width="4.85546875" bestFit="1" customWidth="1"/>
    <col min="6" max="6" width="16.5703125" bestFit="1" customWidth="1"/>
    <col min="7" max="7" width="18.28515625" bestFit="1" customWidth="1"/>
    <col min="8" max="8" width="10.85546875" bestFit="1" customWidth="1"/>
    <col min="9" max="9" width="15" customWidth="1"/>
    <col min="10" max="10" width="8.28515625" bestFit="1" customWidth="1"/>
    <col min="11" max="11" width="13.42578125" bestFit="1" customWidth="1"/>
    <col min="12" max="12" width="10.85546875" bestFit="1" customWidth="1"/>
    <col min="13" max="13" width="8.85546875" bestFit="1" customWidth="1"/>
    <col min="14" max="14" width="9.140625" bestFit="1" customWidth="1"/>
    <col min="15" max="15" width="10.85546875" bestFit="1" customWidth="1"/>
    <col min="16" max="16" width="14.42578125" bestFit="1" customWidth="1"/>
    <col min="17" max="17" width="20" bestFit="1" customWidth="1"/>
    <col min="18" max="18" width="15.140625" bestFit="1" customWidth="1"/>
    <col min="19" max="19" width="15.85546875" bestFit="1" customWidth="1"/>
    <col min="20" max="20" width="17.42578125" bestFit="1" customWidth="1"/>
    <col min="21" max="21" width="15.5703125" bestFit="1" customWidth="1"/>
    <col min="22" max="22" width="16.7109375" bestFit="1" customWidth="1"/>
    <col min="23" max="24" width="17.42578125" bestFit="1" customWidth="1"/>
  </cols>
  <sheetData>
    <row r="2" spans="2:16" x14ac:dyDescent="0.25">
      <c r="F2" t="s">
        <v>61</v>
      </c>
    </row>
    <row r="3" spans="2:16" x14ac:dyDescent="0.25">
      <c r="B3" s="3" t="s">
        <v>39</v>
      </c>
      <c r="C3" t="s">
        <v>54</v>
      </c>
      <c r="F3" s="3" t="s">
        <v>54</v>
      </c>
      <c r="G3" s="3" t="s">
        <v>55</v>
      </c>
    </row>
    <row r="4" spans="2:16" x14ac:dyDescent="0.25">
      <c r="B4" s="4" t="s">
        <v>41</v>
      </c>
      <c r="C4">
        <v>112</v>
      </c>
      <c r="F4" s="3" t="s">
        <v>39</v>
      </c>
      <c r="G4" t="s">
        <v>3</v>
      </c>
      <c r="H4" t="s">
        <v>7</v>
      </c>
      <c r="I4" t="s">
        <v>28</v>
      </c>
      <c r="J4" t="s">
        <v>9</v>
      </c>
      <c r="K4" t="s">
        <v>5</v>
      </c>
      <c r="L4" t="s">
        <v>17</v>
      </c>
      <c r="M4" t="s">
        <v>12</v>
      </c>
      <c r="N4" t="s">
        <v>8</v>
      </c>
      <c r="O4" t="s">
        <v>16</v>
      </c>
      <c r="P4" t="s">
        <v>40</v>
      </c>
    </row>
    <row r="5" spans="2:16" x14ac:dyDescent="0.25">
      <c r="B5" s="4" t="s">
        <v>42</v>
      </c>
      <c r="C5">
        <v>35</v>
      </c>
      <c r="F5" s="4" t="s">
        <v>41</v>
      </c>
      <c r="G5">
        <v>0</v>
      </c>
      <c r="H5">
        <v>0</v>
      </c>
      <c r="I5">
        <v>7</v>
      </c>
      <c r="J5">
        <v>1</v>
      </c>
      <c r="K5">
        <v>11</v>
      </c>
      <c r="L5">
        <v>0</v>
      </c>
      <c r="M5">
        <v>0</v>
      </c>
      <c r="N5">
        <v>74</v>
      </c>
      <c r="O5">
        <v>19</v>
      </c>
      <c r="P5">
        <v>112</v>
      </c>
    </row>
    <row r="6" spans="2:16" x14ac:dyDescent="0.25">
      <c r="B6" s="4" t="s">
        <v>43</v>
      </c>
      <c r="C6">
        <v>9</v>
      </c>
      <c r="F6" s="4" t="s">
        <v>42</v>
      </c>
      <c r="G6">
        <v>0</v>
      </c>
      <c r="H6">
        <v>1</v>
      </c>
      <c r="I6">
        <v>0</v>
      </c>
      <c r="J6">
        <v>25</v>
      </c>
      <c r="K6">
        <v>2</v>
      </c>
      <c r="L6">
        <v>0</v>
      </c>
      <c r="M6">
        <v>0</v>
      </c>
      <c r="N6">
        <v>6</v>
      </c>
      <c r="O6">
        <v>1</v>
      </c>
      <c r="P6">
        <v>35</v>
      </c>
    </row>
    <row r="7" spans="2:16" x14ac:dyDescent="0.25">
      <c r="B7" s="4" t="s">
        <v>44</v>
      </c>
      <c r="C7">
        <v>7</v>
      </c>
      <c r="F7" s="4" t="s">
        <v>43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6</v>
      </c>
      <c r="O7">
        <v>2</v>
      </c>
      <c r="P7">
        <v>9</v>
      </c>
    </row>
    <row r="8" spans="2:16" x14ac:dyDescent="0.25">
      <c r="B8" s="4" t="s">
        <v>45</v>
      </c>
      <c r="C8">
        <v>69</v>
      </c>
      <c r="F8" s="4" t="s">
        <v>44</v>
      </c>
      <c r="G8">
        <v>0</v>
      </c>
      <c r="H8">
        <v>1</v>
      </c>
      <c r="I8">
        <v>0</v>
      </c>
      <c r="J8">
        <v>2</v>
      </c>
      <c r="K8">
        <v>0</v>
      </c>
      <c r="L8">
        <v>0</v>
      </c>
      <c r="M8">
        <v>0</v>
      </c>
      <c r="N8">
        <v>4</v>
      </c>
      <c r="O8">
        <v>0</v>
      </c>
      <c r="P8">
        <v>7</v>
      </c>
    </row>
    <row r="9" spans="2:16" x14ac:dyDescent="0.25">
      <c r="B9" s="4" t="s">
        <v>46</v>
      </c>
      <c r="C9">
        <v>53</v>
      </c>
      <c r="F9" s="4" t="s">
        <v>45</v>
      </c>
      <c r="G9">
        <v>50</v>
      </c>
      <c r="H9">
        <v>0</v>
      </c>
      <c r="I9">
        <v>0</v>
      </c>
      <c r="J9">
        <v>5</v>
      </c>
      <c r="K9">
        <v>0</v>
      </c>
      <c r="L9">
        <v>0</v>
      </c>
      <c r="M9">
        <v>0</v>
      </c>
      <c r="N9">
        <v>12</v>
      </c>
      <c r="O9">
        <v>2</v>
      </c>
      <c r="P9">
        <v>69</v>
      </c>
    </row>
    <row r="10" spans="2:16" x14ac:dyDescent="0.25">
      <c r="B10" s="4" t="s">
        <v>47</v>
      </c>
      <c r="C10">
        <v>59</v>
      </c>
      <c r="F10" s="4" t="s">
        <v>46</v>
      </c>
      <c r="G10">
        <v>4</v>
      </c>
      <c r="H10">
        <v>2</v>
      </c>
      <c r="I10">
        <v>0</v>
      </c>
      <c r="J10">
        <v>18</v>
      </c>
      <c r="K10">
        <v>11</v>
      </c>
      <c r="L10">
        <v>1</v>
      </c>
      <c r="M10">
        <v>1</v>
      </c>
      <c r="N10">
        <v>5</v>
      </c>
      <c r="O10">
        <v>11</v>
      </c>
      <c r="P10">
        <v>53</v>
      </c>
    </row>
    <row r="11" spans="2:16" x14ac:dyDescent="0.25">
      <c r="B11" s="4" t="s">
        <v>48</v>
      </c>
      <c r="C11">
        <v>46</v>
      </c>
      <c r="F11" s="4" t="s">
        <v>47</v>
      </c>
      <c r="G11">
        <v>8</v>
      </c>
      <c r="H11">
        <v>1</v>
      </c>
      <c r="I11">
        <v>1</v>
      </c>
      <c r="J11">
        <v>12</v>
      </c>
      <c r="K11">
        <v>6</v>
      </c>
      <c r="L11">
        <v>3</v>
      </c>
      <c r="M11">
        <v>2</v>
      </c>
      <c r="N11">
        <v>23</v>
      </c>
      <c r="O11">
        <v>3</v>
      </c>
      <c r="P11">
        <v>59</v>
      </c>
    </row>
    <row r="12" spans="2:16" x14ac:dyDescent="0.25">
      <c r="B12" s="4" t="s">
        <v>49</v>
      </c>
      <c r="C12">
        <v>31</v>
      </c>
      <c r="F12" s="4" t="s">
        <v>48</v>
      </c>
      <c r="G12">
        <v>5</v>
      </c>
      <c r="H12">
        <v>2</v>
      </c>
      <c r="I12">
        <v>0</v>
      </c>
      <c r="J12">
        <v>6</v>
      </c>
      <c r="K12">
        <v>10</v>
      </c>
      <c r="L12">
        <v>6</v>
      </c>
      <c r="M12">
        <v>3</v>
      </c>
      <c r="N12">
        <v>11</v>
      </c>
      <c r="O12">
        <v>3</v>
      </c>
      <c r="P12">
        <v>46</v>
      </c>
    </row>
    <row r="13" spans="2:16" x14ac:dyDescent="0.25">
      <c r="B13" s="4" t="s">
        <v>50</v>
      </c>
      <c r="C13">
        <v>50</v>
      </c>
      <c r="F13" s="4" t="s">
        <v>49</v>
      </c>
      <c r="G13">
        <v>8</v>
      </c>
      <c r="H13">
        <v>3</v>
      </c>
      <c r="I13">
        <v>1</v>
      </c>
      <c r="J13">
        <v>2</v>
      </c>
      <c r="K13">
        <v>4</v>
      </c>
      <c r="L13">
        <v>3</v>
      </c>
      <c r="M13">
        <v>2</v>
      </c>
      <c r="N13">
        <v>6</v>
      </c>
      <c r="O13">
        <v>2</v>
      </c>
      <c r="P13">
        <v>31</v>
      </c>
    </row>
    <row r="14" spans="2:16" x14ac:dyDescent="0.25">
      <c r="B14" s="4" t="s">
        <v>51</v>
      </c>
      <c r="C14">
        <v>45</v>
      </c>
      <c r="F14" s="4" t="s">
        <v>50</v>
      </c>
      <c r="G14">
        <v>7</v>
      </c>
      <c r="H14">
        <v>1</v>
      </c>
      <c r="I14">
        <v>1</v>
      </c>
      <c r="J14">
        <v>8</v>
      </c>
      <c r="K14">
        <v>8</v>
      </c>
      <c r="L14">
        <v>9</v>
      </c>
      <c r="M14">
        <v>3</v>
      </c>
      <c r="N14">
        <v>5</v>
      </c>
      <c r="O14">
        <v>8</v>
      </c>
      <c r="P14">
        <v>50</v>
      </c>
    </row>
    <row r="15" spans="2:16" x14ac:dyDescent="0.25">
      <c r="B15" s="4" t="s">
        <v>52</v>
      </c>
      <c r="C15">
        <v>39</v>
      </c>
      <c r="F15" s="4" t="s">
        <v>51</v>
      </c>
      <c r="G15">
        <v>7</v>
      </c>
      <c r="H15">
        <v>0</v>
      </c>
      <c r="I15">
        <v>1</v>
      </c>
      <c r="J15">
        <v>5</v>
      </c>
      <c r="K15">
        <v>13</v>
      </c>
      <c r="L15">
        <v>3</v>
      </c>
      <c r="M15">
        <v>4</v>
      </c>
      <c r="N15">
        <v>4</v>
      </c>
      <c r="O15">
        <v>8</v>
      </c>
      <c r="P15">
        <v>45</v>
      </c>
    </row>
    <row r="16" spans="2:16" x14ac:dyDescent="0.25">
      <c r="B16" s="4" t="s">
        <v>53</v>
      </c>
      <c r="C16">
        <v>10</v>
      </c>
      <c r="F16" s="4" t="s">
        <v>52</v>
      </c>
      <c r="G16">
        <v>9</v>
      </c>
      <c r="H16">
        <v>1</v>
      </c>
      <c r="I16">
        <v>0</v>
      </c>
      <c r="J16">
        <v>8</v>
      </c>
      <c r="K16">
        <v>8</v>
      </c>
      <c r="L16">
        <v>1</v>
      </c>
      <c r="M16">
        <v>2</v>
      </c>
      <c r="N16">
        <v>7</v>
      </c>
      <c r="O16">
        <v>3</v>
      </c>
      <c r="P16">
        <v>39</v>
      </c>
    </row>
    <row r="17" spans="2:16" x14ac:dyDescent="0.25">
      <c r="B17" s="4" t="s">
        <v>40</v>
      </c>
      <c r="C17">
        <v>565</v>
      </c>
      <c r="F17" s="4" t="s">
        <v>53</v>
      </c>
      <c r="G17">
        <v>2</v>
      </c>
      <c r="H17">
        <v>0</v>
      </c>
      <c r="I17">
        <v>0</v>
      </c>
      <c r="J17">
        <v>0</v>
      </c>
      <c r="K17">
        <v>2</v>
      </c>
      <c r="L17">
        <v>1</v>
      </c>
      <c r="M17">
        <v>0</v>
      </c>
      <c r="N17">
        <v>5</v>
      </c>
      <c r="O17">
        <v>0</v>
      </c>
      <c r="P17">
        <v>10</v>
      </c>
    </row>
    <row r="18" spans="2:16" x14ac:dyDescent="0.25">
      <c r="F18" s="4" t="s">
        <v>40</v>
      </c>
      <c r="G18">
        <v>100</v>
      </c>
      <c r="H18">
        <v>12</v>
      </c>
      <c r="I18">
        <v>11</v>
      </c>
      <c r="J18">
        <v>93</v>
      </c>
      <c r="K18">
        <v>75</v>
      </c>
      <c r="L18">
        <v>27</v>
      </c>
      <c r="M18">
        <v>17</v>
      </c>
      <c r="N18">
        <v>168</v>
      </c>
      <c r="O18">
        <v>62</v>
      </c>
      <c r="P18">
        <v>565</v>
      </c>
    </row>
    <row r="22" spans="2:16" x14ac:dyDescent="0.25">
      <c r="F22" t="s">
        <v>59</v>
      </c>
    </row>
    <row r="23" spans="2:16" ht="30" x14ac:dyDescent="0.25">
      <c r="F23" t="s">
        <v>56</v>
      </c>
      <c r="G23" s="5" t="s">
        <v>57</v>
      </c>
      <c r="H23" t="s">
        <v>3</v>
      </c>
      <c r="I23" t="s">
        <v>7</v>
      </c>
      <c r="J23" t="s">
        <v>28</v>
      </c>
      <c r="K23" t="s">
        <v>9</v>
      </c>
      <c r="L23" t="s">
        <v>5</v>
      </c>
      <c r="M23" t="s">
        <v>17</v>
      </c>
      <c r="N23" t="s">
        <v>12</v>
      </c>
      <c r="O23" t="s">
        <v>8</v>
      </c>
      <c r="P23" t="s">
        <v>16</v>
      </c>
    </row>
    <row r="24" spans="2:16" x14ac:dyDescent="0.25">
      <c r="F24" t="s">
        <v>41</v>
      </c>
      <c r="G24">
        <f>GETPIVOTDATA("ID",$B$3,"Roky (v ADP)",2013)</f>
        <v>112</v>
      </c>
      <c r="H24">
        <f>GETPIVOTDATA("ID",$F$3,"OŘ","CDP Praha","Roky (v ADP)",2013)</f>
        <v>0</v>
      </c>
      <c r="I24">
        <f>GETPIVOTDATA("ID",$F$3,"OŘ","CDP Přerov","Roky (v ADP)",2013)</f>
        <v>0</v>
      </c>
      <c r="J24">
        <f>GETPIVOTDATA("ID",$F$3,"OŘ","GŘ","Roky (v ADP)",2013)</f>
        <v>7</v>
      </c>
      <c r="K24">
        <f>GETPIVOTDATA("ID",$F$3,"OŘ","OŘ Brno","Roky (v ADP)",2013)</f>
        <v>1</v>
      </c>
      <c r="L24">
        <f>GETPIVOTDATA("ID",$F$3,"OŘ","OŘ Hr.Králové","Roky (v ADP)",2013)</f>
        <v>11</v>
      </c>
      <c r="M24">
        <f>GETPIVOTDATA("ID",$F$3,"OŘ","OŘ Ostrava","Roky (v ADP)",2013)</f>
        <v>0</v>
      </c>
      <c r="N24">
        <f>GETPIVOTDATA("ID",$F$3,"OŘ","OŘ Plzeň","Roky (v ADP)",2013)</f>
        <v>0</v>
      </c>
      <c r="O24">
        <f>GETPIVOTDATA("ID",$F$3,"OŘ","OŘ Praha","Roky (v ADP)",2013)</f>
        <v>74</v>
      </c>
      <c r="P24">
        <f>GETPIVOTDATA("ID",$F$3,"OŘ","OŘ Ústí n.L","Roky (v ADP)",2013)</f>
        <v>19</v>
      </c>
    </row>
    <row r="25" spans="2:16" x14ac:dyDescent="0.25">
      <c r="F25" t="s">
        <v>42</v>
      </c>
      <c r="G25">
        <f>GETPIVOTDATA("ID",$B$3,"Roky (v ADP)",2014)+G24</f>
        <v>147</v>
      </c>
      <c r="H25">
        <f>GETPIVOTDATA("ID",$F$3,"OŘ","CDP Praha","Roky (v ADP)",2014)+H24</f>
        <v>0</v>
      </c>
      <c r="I25">
        <f>GETPIVOTDATA("ID",$F$3,"OŘ","CDP Přerov","Roky (v ADP)",2014)+I24</f>
        <v>1</v>
      </c>
      <c r="J25">
        <f>GETPIVOTDATA("ID",$F$3,"OŘ","GŘ","Roky (v ADP)",2014)+J24</f>
        <v>7</v>
      </c>
      <c r="K25">
        <f>GETPIVOTDATA("ID",$F$3,"OŘ","OŘ Brno","Roky (v ADP)",2014)+K24</f>
        <v>26</v>
      </c>
      <c r="L25">
        <f>GETPIVOTDATA("ID",$F$3,"OŘ","OŘ Hr.Králové","Roky (v ADP)",2014)+L24</f>
        <v>13</v>
      </c>
      <c r="M25">
        <f>GETPIVOTDATA("ID",$F$3,"OŘ","OŘ Ostrava","Roky (v ADP)",2014)+M24</f>
        <v>0</v>
      </c>
      <c r="N25">
        <f>GETPIVOTDATA("ID",$F$3,"OŘ","OŘ Plzeň","Roky (v ADP)",2014)+N24</f>
        <v>0</v>
      </c>
      <c r="O25">
        <f>GETPIVOTDATA("ID",$F$3,"OŘ","OŘ Praha","Roky (v ADP)",2014)+O24</f>
        <v>80</v>
      </c>
      <c r="P25">
        <f>GETPIVOTDATA("ID",$F$3,"OŘ","OŘ Ústí n.L","Roky (v ADP)",2014)+P24</f>
        <v>20</v>
      </c>
    </row>
    <row r="26" spans="2:16" x14ac:dyDescent="0.25">
      <c r="F26" t="s">
        <v>43</v>
      </c>
      <c r="G26">
        <f>GETPIVOTDATA("ID",$B$3,"Roky (v ADP)",2015)+G25</f>
        <v>156</v>
      </c>
      <c r="H26">
        <f>GETPIVOTDATA("ID",$F$3,"OŘ","CDP Praha","Roky (v ADP)",2015)+H25</f>
        <v>0</v>
      </c>
      <c r="I26">
        <f>GETPIVOTDATA("ID",$F$3,"OŘ","CDP Přerov","Roky (v ADP)",2015)+I25</f>
        <v>1</v>
      </c>
      <c r="J26">
        <f>GETPIVOTDATA("ID",$F$3,"OŘ","GŘ","Roky (v ADP)",2015)+J25</f>
        <v>7</v>
      </c>
      <c r="K26">
        <f>GETPIVOTDATA("ID",$F$3,"OŘ","OŘ Brno","Roky (v ADP)",2015)+K25</f>
        <v>27</v>
      </c>
      <c r="L26">
        <f>GETPIVOTDATA("ID",$F$3,"OŘ","OŘ Hr.Králové","Roky (v ADP)",2015)+L25</f>
        <v>13</v>
      </c>
      <c r="M26">
        <f>GETPIVOTDATA("ID",$F$3,"OŘ","OŘ Ostrava","Roky (v ADP)",2015)+M25</f>
        <v>0</v>
      </c>
      <c r="N26">
        <f>GETPIVOTDATA("ID",$F$3,"OŘ","OŘ Plzeň","Roky (v ADP)",2015)+N25</f>
        <v>0</v>
      </c>
      <c r="O26">
        <f>GETPIVOTDATA("ID",$F$3,"OŘ","OŘ Praha","Roky (v ADP)",2015)+O25</f>
        <v>86</v>
      </c>
      <c r="P26">
        <f>GETPIVOTDATA("ID",$F$3,"OŘ","OŘ Ústí n.L","Roky (v ADP)",2015)+P25</f>
        <v>22</v>
      </c>
    </row>
    <row r="27" spans="2:16" x14ac:dyDescent="0.25">
      <c r="F27" t="s">
        <v>44</v>
      </c>
      <c r="G27">
        <f>GETPIVOTDATA("ID",$B$3,"Roky (v ADP)",2016)+G26</f>
        <v>163</v>
      </c>
      <c r="H27">
        <f>GETPIVOTDATA("ID",$F$3,"OŘ","CDP Praha","Roky (v ADP)",2016)+H26</f>
        <v>0</v>
      </c>
      <c r="I27">
        <f>GETPIVOTDATA("ID",$F$3,"OŘ","CDP Přerov","Roky (v ADP)",2016)+I26</f>
        <v>2</v>
      </c>
      <c r="J27">
        <f>GETPIVOTDATA("ID",$F$3,"OŘ","GŘ","Roky (v ADP)",2016)+J26</f>
        <v>7</v>
      </c>
      <c r="K27">
        <f>GETPIVOTDATA("ID",$F$3,"OŘ","OŘ Brno","Roky (v ADP)",2016)+K26</f>
        <v>29</v>
      </c>
      <c r="L27">
        <f>GETPIVOTDATA("ID",$F$3,"OŘ","OŘ Hr.Králové","Roky (v ADP)",2016)+L26</f>
        <v>13</v>
      </c>
      <c r="M27">
        <f>GETPIVOTDATA("ID",$F$3,"OŘ","OŘ Ostrava","Roky (v ADP)",2016)+M26</f>
        <v>0</v>
      </c>
      <c r="N27">
        <f>GETPIVOTDATA("ID",$F$3,"OŘ","OŘ Plzeň","Roky (v ADP)",2016)+N26</f>
        <v>0</v>
      </c>
      <c r="O27">
        <f>GETPIVOTDATA("ID",$F$3,"OŘ","OŘ Praha","Roky (v ADP)",2016)+O26</f>
        <v>90</v>
      </c>
      <c r="P27">
        <f>GETPIVOTDATA("ID",$F$3,"OŘ","OŘ Ústí n.L","Roky (v ADP)",2016)+P26</f>
        <v>22</v>
      </c>
    </row>
    <row r="28" spans="2:16" x14ac:dyDescent="0.25">
      <c r="F28" t="s">
        <v>45</v>
      </c>
      <c r="G28">
        <f>GETPIVOTDATA("ID",$B$3,"Roky (v ADP)",2017)+G27-42</f>
        <v>190</v>
      </c>
      <c r="H28">
        <f>GETPIVOTDATA("ID",$F$3,"OŘ","CDP Praha","Roky (v ADP)",2017)+H27</f>
        <v>50</v>
      </c>
      <c r="I28">
        <f>GETPIVOTDATA("ID",$F$3,"OŘ","CDP Přerov","Roky (v ADP)",2017)+I27</f>
        <v>2</v>
      </c>
      <c r="J28">
        <f>GETPIVOTDATA("ID",$F$3,"OŘ","GŘ","Roky (v ADP)",2017)+J27</f>
        <v>7</v>
      </c>
      <c r="K28">
        <f>GETPIVOTDATA("ID",$F$3,"OŘ","OŘ Brno","Roky (v ADP)",2017)+K27</f>
        <v>34</v>
      </c>
      <c r="L28">
        <f>GETPIVOTDATA("ID",$F$3,"OŘ","OŘ Hr.Králové","Roky (v ADP)",2017)+L27</f>
        <v>13</v>
      </c>
      <c r="M28">
        <f>GETPIVOTDATA("ID",$F$3,"OŘ","OŘ Ostrava","Roky (v ADP)",2017)+M27</f>
        <v>0</v>
      </c>
      <c r="N28">
        <f>GETPIVOTDATA("ID",$F$3,"OŘ","OŘ Plzeň","Roky (v ADP)",2017)+N27</f>
        <v>0</v>
      </c>
      <c r="O28">
        <f>GETPIVOTDATA("ID",$F$3,"OŘ","OŘ Praha","Roky (v ADP)",2017)+O27-42</f>
        <v>60</v>
      </c>
      <c r="P28">
        <f>GETPIVOTDATA("ID",$F$3,"OŘ","OŘ Ústí n.L","Roky (v ADP)",2017)+P27</f>
        <v>24</v>
      </c>
    </row>
    <row r="29" spans="2:16" x14ac:dyDescent="0.25">
      <c r="F29" t="s">
        <v>46</v>
      </c>
      <c r="G29">
        <f>GETPIVOTDATA("ID",$B$3,"Roky (v ADP)",2018)+G28</f>
        <v>243</v>
      </c>
      <c r="H29">
        <f>GETPIVOTDATA("ID",$F$3,"OŘ","CDP Praha","Roky (v ADP)",2018)+H28</f>
        <v>54</v>
      </c>
      <c r="I29">
        <f>GETPIVOTDATA("ID",$F$3,"OŘ","CDP Přerov","Roky (v ADP)",2018)+I28</f>
        <v>4</v>
      </c>
      <c r="J29">
        <f>GETPIVOTDATA("ID",$F$3,"OŘ","GŘ","Roky (v ADP)",2018)+J28</f>
        <v>7</v>
      </c>
      <c r="K29">
        <f>GETPIVOTDATA("ID",$F$3,"OŘ","OŘ Brno","Roky (v ADP)",2018)+K28</f>
        <v>52</v>
      </c>
      <c r="L29">
        <f>GETPIVOTDATA("ID",$F$3,"OŘ","OŘ Hr.Králové","Roky (v ADP)",2018)+L28</f>
        <v>24</v>
      </c>
      <c r="M29">
        <f>GETPIVOTDATA("ID",$F$3,"OŘ","OŘ Ostrava","Roky (v ADP)",2018)+M28</f>
        <v>1</v>
      </c>
      <c r="N29">
        <f>GETPIVOTDATA("ID",$F$3,"OŘ","OŘ Plzeň","Roky (v ADP)",2018)+N28</f>
        <v>1</v>
      </c>
      <c r="O29">
        <f>GETPIVOTDATA("ID",$F$3,"OŘ","OŘ Praha","Roky (v ADP)",2018)+O28</f>
        <v>65</v>
      </c>
      <c r="P29">
        <f>GETPIVOTDATA("ID",$F$3,"OŘ","OŘ Ústí n.L","Roky (v ADP)",2018)+P28</f>
        <v>35</v>
      </c>
    </row>
    <row r="30" spans="2:16" x14ac:dyDescent="0.25">
      <c r="F30" t="s">
        <v>47</v>
      </c>
      <c r="G30">
        <f>GETPIVOTDATA("ID",$B$3,"Roky (v ADP)",2019)+G29</f>
        <v>302</v>
      </c>
      <c r="H30">
        <f>GETPIVOTDATA("ID",$F$3,"OŘ","CDP Praha","Roky (v ADP)",2019)+H29</f>
        <v>62</v>
      </c>
      <c r="I30">
        <f>GETPIVOTDATA("ID",$F$3,"OŘ","CDP Přerov","Roky (v ADP)",2019)+I29</f>
        <v>5</v>
      </c>
      <c r="J30">
        <f>GETPIVOTDATA("ID",$F$3,"OŘ","GŘ","Roky (v ADP)",2019)+J29</f>
        <v>8</v>
      </c>
      <c r="K30">
        <f>GETPIVOTDATA("ID",$F$3,"OŘ","OŘ Brno","Roky (v ADP)",2019)+K29</f>
        <v>64</v>
      </c>
      <c r="L30">
        <f>GETPIVOTDATA("ID",$F$3,"OŘ","OŘ Hr.Králové","Roky (v ADP)",2019)+L29</f>
        <v>30</v>
      </c>
      <c r="M30">
        <f>GETPIVOTDATA("ID",$F$3,"OŘ","OŘ Ostrava","Roky (v ADP)",2019)+M29</f>
        <v>4</v>
      </c>
      <c r="N30">
        <f>GETPIVOTDATA("ID",$F$3,"OŘ","OŘ Plzeň","Roky (v ADP)",2019)+N29</f>
        <v>3</v>
      </c>
      <c r="O30">
        <f>GETPIVOTDATA("ID",$F$3,"OŘ","OŘ Praha","Roky (v ADP)",2019)+O29</f>
        <v>88</v>
      </c>
      <c r="P30">
        <f>GETPIVOTDATA("ID",$F$3,"OŘ","OŘ Ústí n.L","Roky (v ADP)",2019)+P29</f>
        <v>38</v>
      </c>
    </row>
    <row r="31" spans="2:16" x14ac:dyDescent="0.25">
      <c r="F31" t="s">
        <v>48</v>
      </c>
      <c r="G31">
        <f>GETPIVOTDATA("ID",$B$3,"Roky (v ADP)",2020)+G30</f>
        <v>348</v>
      </c>
      <c r="H31">
        <f>GETPIVOTDATA("ID",$F$3,"OŘ","CDP Praha","Roky (v ADP)",2020)+H30</f>
        <v>67</v>
      </c>
      <c r="I31">
        <f>GETPIVOTDATA("ID",$F$3,"OŘ","CDP Přerov","Roky (v ADP)",2020)+I30</f>
        <v>7</v>
      </c>
      <c r="J31">
        <f>GETPIVOTDATA("ID",$F$3,"OŘ","GŘ","Roky (v ADP)",2020)+J30</f>
        <v>8</v>
      </c>
      <c r="K31">
        <f>GETPIVOTDATA("ID",$F$3,"OŘ","OŘ Brno","Roky (v ADP)",2020)+K30</f>
        <v>70</v>
      </c>
      <c r="L31">
        <f>GETPIVOTDATA("ID",$F$3,"OŘ","OŘ Hr.Králové","Roky (v ADP)",2020)+L30</f>
        <v>40</v>
      </c>
      <c r="M31">
        <f>GETPIVOTDATA("ID",$F$3,"OŘ","OŘ Ostrava","Roky (v ADP)",2020)+M30</f>
        <v>10</v>
      </c>
      <c r="N31">
        <f>GETPIVOTDATA("ID",$F$3,"OŘ","OŘ Plzeň","Roky (v ADP)",2020)+N30</f>
        <v>6</v>
      </c>
      <c r="O31">
        <f>GETPIVOTDATA("ID",$F$3,"OŘ","OŘ Praha","Roky (v ADP)",2020)+O30</f>
        <v>99</v>
      </c>
      <c r="P31">
        <f>GETPIVOTDATA("ID",$F$3,"OŘ","OŘ Ústí n.L","Roky (v ADP)",2020)+P30</f>
        <v>41</v>
      </c>
    </row>
    <row r="32" spans="2:16" x14ac:dyDescent="0.25">
      <c r="F32" t="s">
        <v>49</v>
      </c>
      <c r="G32">
        <f>GETPIVOTDATA("ID",$B$3,"Roky (v ADP)",2021)+G31</f>
        <v>379</v>
      </c>
      <c r="H32">
        <f>GETPIVOTDATA("ID",$F$3,"OŘ","CDP Praha","Roky (v ADP)",2021)+H31</f>
        <v>75</v>
      </c>
      <c r="I32">
        <f>GETPIVOTDATA("ID",$F$3,"OŘ","CDP Přerov","Roky (v ADP)",2021)+I31</f>
        <v>10</v>
      </c>
      <c r="J32">
        <f>GETPIVOTDATA("ID",$F$3,"OŘ","GŘ","Roky (v ADP)",2021)+J31</f>
        <v>9</v>
      </c>
      <c r="K32">
        <f>GETPIVOTDATA("ID",$F$3,"OŘ","OŘ Brno","Roky (v ADP)",2021)+K31</f>
        <v>72</v>
      </c>
      <c r="L32">
        <f>GETPIVOTDATA("ID",$F$3,"OŘ","OŘ Hr.Králové","Roky (v ADP)",2021)+L31</f>
        <v>44</v>
      </c>
      <c r="M32">
        <f>GETPIVOTDATA("ID",$F$3,"OŘ","OŘ Ostrava","Roky (v ADP)",2021)+M31</f>
        <v>13</v>
      </c>
      <c r="N32">
        <f>GETPIVOTDATA("ID",$F$3,"OŘ","OŘ Plzeň","Roky (v ADP)",2021)+N31</f>
        <v>8</v>
      </c>
      <c r="O32">
        <f>GETPIVOTDATA("ID",$F$3,"OŘ","OŘ Praha","Roky (v ADP)",2021)+O31</f>
        <v>105</v>
      </c>
      <c r="P32">
        <f>GETPIVOTDATA("ID",$F$3,"OŘ","OŘ Ústí n.L","Roky (v ADP)",2021)+P31</f>
        <v>43</v>
      </c>
    </row>
    <row r="33" spans="6:16" x14ac:dyDescent="0.25">
      <c r="F33" t="s">
        <v>50</v>
      </c>
      <c r="G33">
        <f>GETPIVOTDATA("ID",$B$3,"Roky (v ADP)",2022)+G32</f>
        <v>429</v>
      </c>
      <c r="H33">
        <f>GETPIVOTDATA("ID",$F$3,"OŘ","CDP Praha","Roky (v ADP)",2022)+H32</f>
        <v>82</v>
      </c>
      <c r="I33">
        <f>GETPIVOTDATA("ID",$F$3,"OŘ","CDP Přerov","Roky (v ADP)",2022)+I32</f>
        <v>11</v>
      </c>
      <c r="J33">
        <f>GETPIVOTDATA("ID",$F$3,"OŘ","GŘ","Roky (v ADP)",2022)+J32</f>
        <v>10</v>
      </c>
      <c r="K33">
        <f>GETPIVOTDATA("ID",$F$3,"OŘ","OŘ Brno","Roky (v ADP)",2022)+K32</f>
        <v>80</v>
      </c>
      <c r="L33">
        <f>GETPIVOTDATA("ID",$F$3,"OŘ","OŘ Hr.Králové","Roky (v ADP)",2022)+L32</f>
        <v>52</v>
      </c>
      <c r="M33">
        <f>GETPIVOTDATA("ID",$F$3,"OŘ","OŘ Ostrava","Roky (v ADP)",2022)+M32</f>
        <v>22</v>
      </c>
      <c r="N33">
        <f>GETPIVOTDATA("ID",$F$3,"OŘ","OŘ Plzeň","Roky (v ADP)",2022)+N32</f>
        <v>11</v>
      </c>
      <c r="O33">
        <f>GETPIVOTDATA("ID",$F$3,"OŘ","OŘ Praha","Roky (v ADP)",2022)+O32</f>
        <v>110</v>
      </c>
      <c r="P33">
        <f>GETPIVOTDATA("ID",$F$3,"OŘ","OŘ Ústí n.L","Roky (v ADP)",2022)+P32</f>
        <v>51</v>
      </c>
    </row>
    <row r="34" spans="6:16" x14ac:dyDescent="0.25">
      <c r="F34" t="s">
        <v>51</v>
      </c>
      <c r="G34">
        <f>GETPIVOTDATA("ID",$B$3,"Roky (v ADP)",2023)+G33</f>
        <v>474</v>
      </c>
      <c r="H34">
        <f>GETPIVOTDATA("ID",$F$3,"OŘ","CDP Praha","Roky (v ADP)",2023)+H33</f>
        <v>89</v>
      </c>
      <c r="I34">
        <f>GETPIVOTDATA("ID",$F$3,"OŘ","CDP Přerov","Roky (v ADP)",2023)+I33</f>
        <v>11</v>
      </c>
      <c r="J34">
        <f>GETPIVOTDATA("ID",$F$3,"OŘ","GŘ","Roky (v ADP)",2023)+J33</f>
        <v>11</v>
      </c>
      <c r="K34">
        <f>GETPIVOTDATA("ID",$F$3,"OŘ","OŘ Brno","Roky (v ADP)",2023)+K33</f>
        <v>85</v>
      </c>
      <c r="L34">
        <f>GETPIVOTDATA("ID",$F$3,"OŘ","OŘ Hr.Králové","Roky (v ADP)",2023)+L33</f>
        <v>65</v>
      </c>
      <c r="M34">
        <f>GETPIVOTDATA("ID",$F$3,"OŘ","OŘ Ostrava","Roky (v ADP)",2023)+M33</f>
        <v>25</v>
      </c>
      <c r="N34">
        <f>GETPIVOTDATA("ID",$F$3,"OŘ","OŘ Plzeň","Roky (v ADP)",2023)+N33</f>
        <v>15</v>
      </c>
      <c r="O34">
        <f>GETPIVOTDATA("ID",$F$3,"OŘ","OŘ Praha","Roky (v ADP)",2023)+O33</f>
        <v>114</v>
      </c>
      <c r="P34">
        <f>GETPIVOTDATA("ID",$F$3,"OŘ","OŘ Ústí n.L","Roky (v ADP)",2023)+P33</f>
        <v>59</v>
      </c>
    </row>
    <row r="35" spans="6:16" x14ac:dyDescent="0.25">
      <c r="F35" t="s">
        <v>52</v>
      </c>
      <c r="G35">
        <f>GETPIVOTDATA("ID",$B$3,"Roky (v ADP)",2024)+G34</f>
        <v>513</v>
      </c>
      <c r="H35">
        <f>GETPIVOTDATA("ID",$F$3,"OŘ","CDP Praha","Roky (v ADP)",2024)+H34</f>
        <v>98</v>
      </c>
      <c r="I35">
        <f>GETPIVOTDATA("ID",$F$3,"OŘ","CDP Přerov","Roky (v ADP)",2024)+I34</f>
        <v>12</v>
      </c>
      <c r="J35">
        <f>GETPIVOTDATA("ID",$F$3,"OŘ","GŘ","Roky (v ADP)",2024)+J34</f>
        <v>11</v>
      </c>
      <c r="K35">
        <f>GETPIVOTDATA("ID",$F$3,"OŘ","OŘ Brno","Roky (v ADP)",2024)+K34</f>
        <v>93</v>
      </c>
      <c r="L35">
        <f>GETPIVOTDATA("ID",$F$3,"OŘ","OŘ Hr.Králové","Roky (v ADP)",2024)+L34</f>
        <v>73</v>
      </c>
      <c r="M35">
        <f>GETPIVOTDATA("ID",$F$3,"OŘ","OŘ Ostrava","Roky (v ADP)",2024)+M34</f>
        <v>26</v>
      </c>
      <c r="N35">
        <f>GETPIVOTDATA("ID",$F$3,"OŘ","OŘ Plzeň","Roky (v ADP)",2024)+N34</f>
        <v>17</v>
      </c>
      <c r="O35">
        <f>GETPIVOTDATA("ID",$F$3,"OŘ","OŘ Praha","Roky (v ADP)",2024)+O34</f>
        <v>121</v>
      </c>
      <c r="P35">
        <f>GETPIVOTDATA("ID",$F$3,"OŘ","OŘ Ústí n.L","Roky (v ADP)",2024)+P34</f>
        <v>62</v>
      </c>
    </row>
    <row r="36" spans="6:16" x14ac:dyDescent="0.25">
      <c r="F36" t="s">
        <v>53</v>
      </c>
      <c r="G36">
        <f>GETPIVOTDATA("ID",$B$3,"Roky (v ADP)",2025)+G35</f>
        <v>523</v>
      </c>
      <c r="H36">
        <f>GETPIVOTDATA("ID",$F$3,"OŘ","CDP Praha","Roky (v ADP)",2025)+H35</f>
        <v>100</v>
      </c>
      <c r="I36">
        <f>GETPIVOTDATA("ID",$F$3,"OŘ","CDP Přerov","Roky (v ADP)",2025)+I35</f>
        <v>12</v>
      </c>
      <c r="J36">
        <f>GETPIVOTDATA("ID",$F$3,"OŘ","GŘ","Roky (v ADP)",2025)+J35</f>
        <v>11</v>
      </c>
      <c r="K36">
        <f>GETPIVOTDATA("ID",$F$3,"OŘ","OŘ Brno","Roky (v ADP)",2025)+K35</f>
        <v>93</v>
      </c>
      <c r="L36">
        <f>GETPIVOTDATA("ID",$F$3,"OŘ","OŘ Hr.Králové","Roky (v ADP)",2025)+L35</f>
        <v>75</v>
      </c>
      <c r="M36">
        <f>GETPIVOTDATA("ID",$F$3,"OŘ","OŘ Ostrava","Roky (v ADP)",2025)+M35</f>
        <v>27</v>
      </c>
      <c r="N36">
        <f>GETPIVOTDATA("ID",$F$3,"OŘ","OŘ Plzeň","Roky (v ADP)",2025)+N35</f>
        <v>17</v>
      </c>
      <c r="O36">
        <f>GETPIVOTDATA("ID",$F$3,"OŘ","OŘ Praha","Roky (v ADP)",2025)+O35</f>
        <v>126</v>
      </c>
      <c r="P36">
        <f>GETPIVOTDATA("ID",$F$3,"OŘ","OŘ Ústí n.L","Roky (v ADP)",2025)+P35</f>
        <v>62</v>
      </c>
    </row>
    <row r="39" spans="6:16" x14ac:dyDescent="0.25">
      <c r="F39" t="s">
        <v>60</v>
      </c>
    </row>
    <row r="40" spans="6:16" x14ac:dyDescent="0.25">
      <c r="F40" t="s">
        <v>58</v>
      </c>
    </row>
    <row r="41" spans="6:16" ht="30" x14ac:dyDescent="0.25">
      <c r="F41" t="s">
        <v>56</v>
      </c>
      <c r="G41" s="5" t="s">
        <v>57</v>
      </c>
      <c r="H41" t="s">
        <v>3</v>
      </c>
      <c r="I41" t="s">
        <v>7</v>
      </c>
      <c r="J41" t="s">
        <v>28</v>
      </c>
      <c r="K41" t="s">
        <v>9</v>
      </c>
      <c r="L41" t="s">
        <v>5</v>
      </c>
      <c r="M41" t="s">
        <v>17</v>
      </c>
      <c r="N41" t="s">
        <v>12</v>
      </c>
      <c r="O41" t="s">
        <v>8</v>
      </c>
      <c r="P41" t="s">
        <v>16</v>
      </c>
    </row>
    <row r="42" spans="6:16" x14ac:dyDescent="0.25">
      <c r="F42" t="s">
        <v>41</v>
      </c>
      <c r="G42">
        <f>GETPIVOTDATA("ID",$B$3,"Roky (v ADP)",2013)</f>
        <v>112</v>
      </c>
      <c r="H42" s="6">
        <f t="shared" ref="H42:P42" si="0">H24/$G$42*100</f>
        <v>0</v>
      </c>
      <c r="I42" s="6">
        <f t="shared" si="0"/>
        <v>0</v>
      </c>
      <c r="J42" s="6">
        <f t="shared" si="0"/>
        <v>6.25</v>
      </c>
      <c r="K42" s="6">
        <f t="shared" si="0"/>
        <v>0.89285714285714279</v>
      </c>
      <c r="L42" s="6">
        <f t="shared" si="0"/>
        <v>9.8214285714285712</v>
      </c>
      <c r="M42" s="6">
        <f t="shared" si="0"/>
        <v>0</v>
      </c>
      <c r="N42" s="6">
        <f t="shared" si="0"/>
        <v>0</v>
      </c>
      <c r="O42" s="6">
        <f t="shared" si="0"/>
        <v>66.071428571428569</v>
      </c>
      <c r="P42" s="6">
        <f t="shared" si="0"/>
        <v>16.964285714285715</v>
      </c>
    </row>
    <row r="43" spans="6:16" x14ac:dyDescent="0.25">
      <c r="F43" t="s">
        <v>42</v>
      </c>
      <c r="G43">
        <f>GETPIVOTDATA("ID",$B$3,"Roky (v ADP)",2014)+G42</f>
        <v>147</v>
      </c>
      <c r="H43" s="6">
        <f t="shared" ref="H43:P43" si="1">H25/$G$43*100</f>
        <v>0</v>
      </c>
      <c r="I43" s="6">
        <f t="shared" si="1"/>
        <v>0.68027210884353739</v>
      </c>
      <c r="J43" s="6">
        <f t="shared" si="1"/>
        <v>4.7619047619047619</v>
      </c>
      <c r="K43" s="6">
        <f t="shared" si="1"/>
        <v>17.687074829931973</v>
      </c>
      <c r="L43" s="6">
        <f t="shared" si="1"/>
        <v>8.8435374149659864</v>
      </c>
      <c r="M43" s="6">
        <f t="shared" si="1"/>
        <v>0</v>
      </c>
      <c r="N43" s="6">
        <f t="shared" si="1"/>
        <v>0</v>
      </c>
      <c r="O43" s="6">
        <f t="shared" si="1"/>
        <v>54.421768707482997</v>
      </c>
      <c r="P43" s="6">
        <f t="shared" si="1"/>
        <v>13.605442176870749</v>
      </c>
    </row>
    <row r="44" spans="6:16" x14ac:dyDescent="0.25">
      <c r="F44" t="s">
        <v>43</v>
      </c>
      <c r="G44">
        <f>GETPIVOTDATA("ID",$B$3,"Roky (v ADP)",2015)+G43</f>
        <v>156</v>
      </c>
      <c r="H44" s="6">
        <f t="shared" ref="H44:P44" si="2">H26/$G$44*100</f>
        <v>0</v>
      </c>
      <c r="I44" s="6">
        <f t="shared" si="2"/>
        <v>0.64102564102564097</v>
      </c>
      <c r="J44" s="6">
        <f t="shared" si="2"/>
        <v>4.4871794871794872</v>
      </c>
      <c r="K44" s="6">
        <f t="shared" si="2"/>
        <v>17.307692307692307</v>
      </c>
      <c r="L44" s="6">
        <f t="shared" si="2"/>
        <v>8.3333333333333321</v>
      </c>
      <c r="M44" s="6">
        <f t="shared" si="2"/>
        <v>0</v>
      </c>
      <c r="N44" s="6">
        <f t="shared" si="2"/>
        <v>0</v>
      </c>
      <c r="O44" s="6">
        <f t="shared" si="2"/>
        <v>55.128205128205131</v>
      </c>
      <c r="P44" s="6">
        <f t="shared" si="2"/>
        <v>14.102564102564102</v>
      </c>
    </row>
    <row r="45" spans="6:16" x14ac:dyDescent="0.25">
      <c r="F45" t="s">
        <v>44</v>
      </c>
      <c r="G45">
        <f>GETPIVOTDATA("ID",$B$3,"Roky (v ADP)",2016)+G44</f>
        <v>163</v>
      </c>
      <c r="H45" s="6">
        <f t="shared" ref="H45:P45" si="3">H27/$G$45*100</f>
        <v>0</v>
      </c>
      <c r="I45" s="6">
        <f t="shared" si="3"/>
        <v>1.2269938650306749</v>
      </c>
      <c r="J45" s="6">
        <f t="shared" si="3"/>
        <v>4.294478527607362</v>
      </c>
      <c r="K45" s="6">
        <f t="shared" si="3"/>
        <v>17.791411042944784</v>
      </c>
      <c r="L45" s="6">
        <f t="shared" si="3"/>
        <v>7.9754601226993866</v>
      </c>
      <c r="M45" s="6">
        <f t="shared" si="3"/>
        <v>0</v>
      </c>
      <c r="N45" s="6">
        <f t="shared" si="3"/>
        <v>0</v>
      </c>
      <c r="O45" s="6">
        <f t="shared" si="3"/>
        <v>55.214723926380373</v>
      </c>
      <c r="P45" s="6">
        <f t="shared" si="3"/>
        <v>13.496932515337424</v>
      </c>
    </row>
    <row r="46" spans="6:16" x14ac:dyDescent="0.25">
      <c r="F46" t="s">
        <v>45</v>
      </c>
      <c r="G46">
        <f>GETPIVOTDATA("ID",$B$3,"Roky (v ADP)",2017)+G45-42</f>
        <v>190</v>
      </c>
      <c r="H46" s="6">
        <f t="shared" ref="H46:P46" si="4">H28/$G$46*100</f>
        <v>26.315789473684209</v>
      </c>
      <c r="I46" s="6">
        <f t="shared" si="4"/>
        <v>1.0526315789473684</v>
      </c>
      <c r="J46" s="6">
        <f t="shared" si="4"/>
        <v>3.6842105263157889</v>
      </c>
      <c r="K46" s="6">
        <f t="shared" si="4"/>
        <v>17.894736842105264</v>
      </c>
      <c r="L46" s="6">
        <f t="shared" si="4"/>
        <v>6.8421052631578956</v>
      </c>
      <c r="M46" s="6">
        <f t="shared" si="4"/>
        <v>0</v>
      </c>
      <c r="N46" s="6">
        <f t="shared" si="4"/>
        <v>0</v>
      </c>
      <c r="O46" s="6">
        <f t="shared" si="4"/>
        <v>31.578947368421051</v>
      </c>
      <c r="P46" s="6">
        <f t="shared" si="4"/>
        <v>12.631578947368421</v>
      </c>
    </row>
    <row r="47" spans="6:16" x14ac:dyDescent="0.25">
      <c r="F47" t="s">
        <v>46</v>
      </c>
      <c r="G47">
        <f>GETPIVOTDATA("ID",$B$3,"Roky (v ADP)",2018)+G46</f>
        <v>243</v>
      </c>
      <c r="H47" s="6">
        <f t="shared" ref="H47:P47" si="5">H29/$G$47*100</f>
        <v>22.222222222222221</v>
      </c>
      <c r="I47" s="6">
        <f t="shared" si="5"/>
        <v>1.6460905349794239</v>
      </c>
      <c r="J47" s="6">
        <f t="shared" si="5"/>
        <v>2.880658436213992</v>
      </c>
      <c r="K47" s="6">
        <f t="shared" si="5"/>
        <v>21.399176954732511</v>
      </c>
      <c r="L47" s="6">
        <f t="shared" si="5"/>
        <v>9.8765432098765427</v>
      </c>
      <c r="M47" s="6">
        <f t="shared" si="5"/>
        <v>0.41152263374485598</v>
      </c>
      <c r="N47" s="6">
        <f t="shared" si="5"/>
        <v>0.41152263374485598</v>
      </c>
      <c r="O47" s="6">
        <f t="shared" si="5"/>
        <v>26.748971193415638</v>
      </c>
      <c r="P47" s="6">
        <f t="shared" si="5"/>
        <v>14.403292181069959</v>
      </c>
    </row>
    <row r="48" spans="6:16" x14ac:dyDescent="0.25">
      <c r="F48" t="s">
        <v>47</v>
      </c>
      <c r="G48">
        <f>GETPIVOTDATA("ID",$B$3,"Roky (v ADP)",2019)+G47</f>
        <v>302</v>
      </c>
      <c r="H48" s="6">
        <f t="shared" ref="H48:P48" si="6">H30/$G$48*100</f>
        <v>20.52980132450331</v>
      </c>
      <c r="I48" s="6">
        <f t="shared" si="6"/>
        <v>1.6556291390728477</v>
      </c>
      <c r="J48" s="6">
        <f t="shared" si="6"/>
        <v>2.6490066225165565</v>
      </c>
      <c r="K48" s="6">
        <f t="shared" si="6"/>
        <v>21.192052980132452</v>
      </c>
      <c r="L48" s="6">
        <f t="shared" si="6"/>
        <v>9.9337748344370862</v>
      </c>
      <c r="M48" s="6">
        <f t="shared" si="6"/>
        <v>1.3245033112582782</v>
      </c>
      <c r="N48" s="6">
        <f t="shared" si="6"/>
        <v>0.99337748344370869</v>
      </c>
      <c r="O48" s="6">
        <f t="shared" si="6"/>
        <v>29.139072847682119</v>
      </c>
      <c r="P48" s="6">
        <f t="shared" si="6"/>
        <v>12.582781456953644</v>
      </c>
    </row>
    <row r="49" spans="6:16" x14ac:dyDescent="0.25">
      <c r="F49" t="s">
        <v>48</v>
      </c>
      <c r="G49">
        <f>GETPIVOTDATA("ID",$B$3,"Roky (v ADP)",2020)+G48</f>
        <v>348</v>
      </c>
      <c r="H49" s="6">
        <f t="shared" ref="H49:P49" si="7">H31/$G$49*100</f>
        <v>19.25287356321839</v>
      </c>
      <c r="I49" s="6">
        <f t="shared" si="7"/>
        <v>2.0114942528735633</v>
      </c>
      <c r="J49" s="6">
        <f t="shared" si="7"/>
        <v>2.2988505747126435</v>
      </c>
      <c r="K49" s="6">
        <f t="shared" si="7"/>
        <v>20.114942528735632</v>
      </c>
      <c r="L49" s="6">
        <f t="shared" si="7"/>
        <v>11.494252873563218</v>
      </c>
      <c r="M49" s="6">
        <f t="shared" si="7"/>
        <v>2.8735632183908044</v>
      </c>
      <c r="N49" s="6">
        <f t="shared" si="7"/>
        <v>1.7241379310344827</v>
      </c>
      <c r="O49" s="6">
        <f t="shared" si="7"/>
        <v>28.448275862068968</v>
      </c>
      <c r="P49" s="6">
        <f t="shared" si="7"/>
        <v>11.781609195402298</v>
      </c>
    </row>
    <row r="50" spans="6:16" x14ac:dyDescent="0.25">
      <c r="F50" t="s">
        <v>49</v>
      </c>
      <c r="G50">
        <f>GETPIVOTDATA("ID",$B$3,"Roky (v ADP)",2021)+G49</f>
        <v>379</v>
      </c>
      <c r="H50" s="6">
        <f t="shared" ref="H50:P50" si="8">H32/$G$50*100</f>
        <v>19.788918205804748</v>
      </c>
      <c r="I50" s="6">
        <f t="shared" si="8"/>
        <v>2.6385224274406331</v>
      </c>
      <c r="J50" s="6">
        <f t="shared" si="8"/>
        <v>2.3746701846965697</v>
      </c>
      <c r="K50" s="6">
        <f t="shared" si="8"/>
        <v>18.997361477572557</v>
      </c>
      <c r="L50" s="6">
        <f t="shared" si="8"/>
        <v>11.609498680738787</v>
      </c>
      <c r="M50" s="6">
        <f t="shared" si="8"/>
        <v>3.4300791556728232</v>
      </c>
      <c r="N50" s="6">
        <f t="shared" si="8"/>
        <v>2.1108179419525066</v>
      </c>
      <c r="O50" s="6">
        <f t="shared" si="8"/>
        <v>27.70448548812665</v>
      </c>
      <c r="P50" s="6">
        <f t="shared" si="8"/>
        <v>11.345646437994723</v>
      </c>
    </row>
    <row r="51" spans="6:16" x14ac:dyDescent="0.25">
      <c r="F51" t="s">
        <v>50</v>
      </c>
      <c r="G51">
        <f>GETPIVOTDATA("ID",$B$3,"Roky (v ADP)",2022)+G50</f>
        <v>429</v>
      </c>
      <c r="H51" s="6">
        <f t="shared" ref="H51:P51" si="9">H33/$G$51*100</f>
        <v>19.114219114219114</v>
      </c>
      <c r="I51" s="6">
        <f t="shared" si="9"/>
        <v>2.5641025641025639</v>
      </c>
      <c r="J51" s="6">
        <f t="shared" si="9"/>
        <v>2.3310023310023311</v>
      </c>
      <c r="K51" s="6">
        <f t="shared" si="9"/>
        <v>18.648018648018649</v>
      </c>
      <c r="L51" s="6">
        <f t="shared" si="9"/>
        <v>12.121212121212121</v>
      </c>
      <c r="M51" s="6">
        <f t="shared" si="9"/>
        <v>5.1282051282051277</v>
      </c>
      <c r="N51" s="6">
        <f t="shared" si="9"/>
        <v>2.5641025641025639</v>
      </c>
      <c r="O51" s="6">
        <f t="shared" si="9"/>
        <v>25.641025641025639</v>
      </c>
      <c r="P51" s="6">
        <f t="shared" si="9"/>
        <v>11.888111888111888</v>
      </c>
    </row>
    <row r="52" spans="6:16" x14ac:dyDescent="0.25">
      <c r="F52" t="s">
        <v>51</v>
      </c>
      <c r="G52">
        <f>GETPIVOTDATA("ID",$B$3,"Roky (v ADP)",2023)+G51</f>
        <v>474</v>
      </c>
      <c r="H52" s="6">
        <f t="shared" ref="H52:P52" si="10">H34/$G$52*100</f>
        <v>18.776371308016877</v>
      </c>
      <c r="I52" s="6">
        <f t="shared" si="10"/>
        <v>2.3206751054852321</v>
      </c>
      <c r="J52" s="6">
        <f t="shared" si="10"/>
        <v>2.3206751054852321</v>
      </c>
      <c r="K52" s="6">
        <f t="shared" si="10"/>
        <v>17.932489451476794</v>
      </c>
      <c r="L52" s="6">
        <f t="shared" si="10"/>
        <v>13.71308016877637</v>
      </c>
      <c r="M52" s="6">
        <f t="shared" si="10"/>
        <v>5.2742616033755274</v>
      </c>
      <c r="N52" s="6">
        <f t="shared" si="10"/>
        <v>3.1645569620253164</v>
      </c>
      <c r="O52" s="6">
        <f t="shared" si="10"/>
        <v>24.050632911392405</v>
      </c>
      <c r="P52" s="6">
        <f t="shared" si="10"/>
        <v>12.447257383966246</v>
      </c>
    </row>
    <row r="53" spans="6:16" x14ac:dyDescent="0.25">
      <c r="F53" t="s">
        <v>52</v>
      </c>
      <c r="G53">
        <f>GETPIVOTDATA("ID",$B$3,"Roky (v ADP)",2024)+G52</f>
        <v>513</v>
      </c>
      <c r="H53" s="6">
        <f t="shared" ref="H53:P53" si="11">H35/$G$53*100</f>
        <v>19.103313840155945</v>
      </c>
      <c r="I53" s="6">
        <f t="shared" si="11"/>
        <v>2.3391812865497075</v>
      </c>
      <c r="J53" s="6">
        <f t="shared" si="11"/>
        <v>2.144249512670565</v>
      </c>
      <c r="K53" s="6">
        <f t="shared" si="11"/>
        <v>18.128654970760234</v>
      </c>
      <c r="L53" s="6">
        <f t="shared" si="11"/>
        <v>14.230019493177387</v>
      </c>
      <c r="M53" s="6">
        <f t="shared" si="11"/>
        <v>5.0682261208577</v>
      </c>
      <c r="N53" s="6">
        <f t="shared" si="11"/>
        <v>3.3138401559454191</v>
      </c>
      <c r="O53" s="6">
        <f t="shared" si="11"/>
        <v>23.586744639376217</v>
      </c>
      <c r="P53" s="6">
        <f t="shared" si="11"/>
        <v>12.085769980506821</v>
      </c>
    </row>
    <row r="54" spans="6:16" x14ac:dyDescent="0.25">
      <c r="F54" t="s">
        <v>53</v>
      </c>
      <c r="G54">
        <f>GETPIVOTDATA("ID",$B$3,"Roky (v ADP)",2025)+G53</f>
        <v>523</v>
      </c>
      <c r="H54" s="6">
        <f t="shared" ref="H54:P54" si="12">H36/$G$54*100</f>
        <v>19.120458891013385</v>
      </c>
      <c r="I54" s="6">
        <f t="shared" si="12"/>
        <v>2.2944550669216062</v>
      </c>
      <c r="J54" s="6">
        <f t="shared" si="12"/>
        <v>2.1032504780114722</v>
      </c>
      <c r="K54" s="6">
        <f t="shared" si="12"/>
        <v>17.782026768642449</v>
      </c>
      <c r="L54" s="6">
        <f t="shared" si="12"/>
        <v>14.340344168260039</v>
      </c>
      <c r="M54" s="6">
        <f t="shared" si="12"/>
        <v>5.1625239005736141</v>
      </c>
      <c r="N54" s="6">
        <f t="shared" si="12"/>
        <v>3.2504780114722758</v>
      </c>
      <c r="O54" s="6">
        <f t="shared" si="12"/>
        <v>24.091778202676863</v>
      </c>
      <c r="P54" s="6">
        <f t="shared" si="12"/>
        <v>11.854684512428298</v>
      </c>
    </row>
  </sheetData>
  <pageMargins left="0.7" right="0.7" top="0.78740157499999996" bottom="0.78740157499999996" header="0.3" footer="0.3"/>
  <pageSetup paperSize="9" orientation="portrait" horizontalDpi="0" verticalDpi="0"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EDC23-3143-4770-B30A-7851857392AC}">
  <dimension ref="A1"/>
  <sheetViews>
    <sheetView zoomScale="70" zoomScaleNormal="70" workbookViewId="0">
      <selection activeCell="Y261" sqref="Y261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8965C-383B-45C6-B992-ACB05D788359}">
  <dimension ref="A1"/>
  <sheetViews>
    <sheetView topLeftCell="A214" workbookViewId="0">
      <selection activeCell="P91" sqref="P91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List1</vt:lpstr>
      <vt:lpstr>Výpočty</vt:lpstr>
      <vt:lpstr>Vizualizace_černá verze</vt:lpstr>
      <vt:lpstr>Světlá verze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Veronika Shrivastava</dc:creator>
  <cp:lastModifiedBy>Veronika Shrivastava</cp:lastModifiedBy>
  <dcterms:created xsi:type="dcterms:W3CDTF">2025-02-02T17:50:48Z</dcterms:created>
  <dcterms:modified xsi:type="dcterms:W3CDTF">2025-02-25T14:12:47Z</dcterms:modified>
</cp:coreProperties>
</file>