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veronique_debruijn_wur_nl/Documents/Attachments/Ch.4 Screening/Ch. 4 Screening/Github/input/"/>
    </mc:Choice>
  </mc:AlternateContent>
  <xr:revisionPtr revIDLastSave="1232" documentId="13_ncr:1_{31DAC64F-1113-452B-98E1-B2950507C2E1}" xr6:coauthVersionLast="47" xr6:coauthVersionMax="47" xr10:uidLastSave="{82C35735-562E-4FC9-9F64-3B726C75B7D1}"/>
  <bookViews>
    <workbookView xWindow="-120" yWindow="-120" windowWidth="29040" windowHeight="15840" activeTab="1" xr2:uid="{22443A93-8E96-4989-BAE3-9C8CC07CB8B7}"/>
  </bookViews>
  <sheets>
    <sheet name="Search string" sheetId="3" r:id="rId1"/>
    <sheet name="Clinical data" sheetId="2" r:id="rId2"/>
  </sheets>
  <definedNames>
    <definedName name="_xlnm._FilterDatabase" localSheetId="1" hidden="1">'Clinical data'!$A$1:$O$188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F27" i="2"/>
  <c r="D27" i="2"/>
  <c r="D26" i="2"/>
  <c r="F26" i="2"/>
  <c r="D25" i="2"/>
  <c r="F25" i="2"/>
  <c r="F24" i="2"/>
  <c r="D24" i="2"/>
  <c r="F23" i="2"/>
  <c r="D23" i="2"/>
  <c r="F22" i="2"/>
  <c r="D22" i="2"/>
  <c r="F21" i="2"/>
  <c r="D21" i="2"/>
  <c r="F20" i="2"/>
  <c r="D20" i="2"/>
  <c r="D19" i="2"/>
  <c r="F19" i="2"/>
  <c r="F18" i="2"/>
  <c r="D18" i="2"/>
  <c r="F17" i="2"/>
  <c r="D17" i="2"/>
  <c r="D178" i="2"/>
  <c r="D45" i="2"/>
  <c r="D96" i="2" l="1"/>
  <c r="D54" i="2"/>
  <c r="D185" i="2"/>
  <c r="D175" i="2"/>
  <c r="D153" i="2"/>
  <c r="D149" i="2"/>
  <c r="D121" i="2"/>
  <c r="D100" i="2"/>
  <c r="D76" i="2"/>
  <c r="D31" i="2"/>
  <c r="D28" i="2"/>
  <c r="D188" i="2"/>
  <c r="D174" i="2"/>
  <c r="F66" i="2"/>
  <c r="F65" i="2"/>
  <c r="D124" i="2"/>
  <c r="F124" i="2"/>
  <c r="F119" i="2"/>
  <c r="F10" i="2"/>
  <c r="D10" i="2"/>
  <c r="F9" i="2"/>
  <c r="D9" i="2"/>
  <c r="F111" i="2"/>
  <c r="D16" i="2"/>
  <c r="F16" i="2"/>
  <c r="D15" i="2"/>
  <c r="D14" i="2"/>
  <c r="F13" i="2"/>
  <c r="D12" i="2"/>
  <c r="F12" i="2"/>
  <c r="F11" i="2"/>
  <c r="D11" i="2"/>
  <c r="F8" i="2"/>
  <c r="D8" i="2"/>
  <c r="D7" i="2"/>
  <c r="F6" i="2"/>
  <c r="D6" i="2"/>
  <c r="D5" i="2"/>
  <c r="F5" i="2"/>
  <c r="D4" i="2"/>
  <c r="F4" i="2"/>
  <c r="D3" i="2"/>
  <c r="F3" i="2"/>
  <c r="F2" i="2"/>
  <c r="D2" i="2"/>
  <c r="F64" i="2"/>
  <c r="D63" i="2"/>
  <c r="F62" i="2"/>
  <c r="D135" i="2"/>
  <c r="F135" i="2"/>
  <c r="F134" i="2"/>
  <c r="D134" i="2"/>
  <c r="D133" i="2"/>
  <c r="F133" i="2"/>
  <c r="D132" i="2"/>
  <c r="F132" i="2"/>
  <c r="F131" i="2"/>
  <c r="D131" i="2"/>
  <c r="F130" i="2"/>
  <c r="D130" i="2"/>
  <c r="D129" i="2"/>
  <c r="F128" i="2"/>
  <c r="D128" i="2"/>
  <c r="F127" i="2"/>
  <c r="D127" i="2"/>
  <c r="F126" i="2"/>
  <c r="D126" i="2"/>
  <c r="D125" i="2"/>
  <c r="F125" i="2"/>
  <c r="D123" i="2"/>
  <c r="F123" i="2"/>
  <c r="F122" i="2"/>
  <c r="D122" i="2"/>
  <c r="D120" i="2"/>
  <c r="D119" i="2"/>
  <c r="D118" i="2" l="1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79" i="2"/>
  <c r="D78" i="2"/>
  <c r="F78" i="2"/>
  <c r="D77" i="2"/>
  <c r="F77" i="2"/>
  <c r="F97" i="2"/>
  <c r="F177" i="2"/>
  <c r="D177" i="2"/>
  <c r="D187" i="2"/>
  <c r="F187" i="2"/>
  <c r="D186" i="2"/>
  <c r="D59" i="2"/>
  <c r="D58" i="2"/>
  <c r="D176" i="2"/>
  <c r="F176" i="2"/>
  <c r="D152" i="2"/>
  <c r="F152" i="2"/>
  <c r="D151" i="2"/>
  <c r="D150" i="2"/>
  <c r="F150" i="2"/>
  <c r="F73" i="2"/>
  <c r="F72" i="2"/>
  <c r="D69" i="2"/>
  <c r="F98" i="2"/>
  <c r="D99" i="2"/>
  <c r="F99" i="2"/>
  <c r="D98" i="2"/>
  <c r="D97" i="2"/>
  <c r="F75" i="2"/>
  <c r="D75" i="2"/>
  <c r="F74" i="2"/>
  <c r="D74" i="2"/>
  <c r="D73" i="2"/>
  <c r="D72" i="2"/>
  <c r="D71" i="2"/>
  <c r="D70" i="2"/>
  <c r="F69" i="2"/>
  <c r="D68" i="2"/>
  <c r="F30" i="2"/>
  <c r="D30" i="2"/>
  <c r="F29" i="2"/>
  <c r="D29" i="2"/>
  <c r="D184" i="2"/>
  <c r="F167" i="2"/>
  <c r="D157" i="2"/>
  <c r="I156" i="2"/>
  <c r="D156" i="2"/>
  <c r="F156" i="2"/>
  <c r="D183" i="2"/>
  <c r="F182" i="2"/>
  <c r="D182" i="2"/>
  <c r="D181" i="2"/>
  <c r="D180" i="2"/>
  <c r="F179" i="2"/>
  <c r="D179" i="2"/>
  <c r="D173" i="2"/>
  <c r="D172" i="2"/>
  <c r="D171" i="2"/>
  <c r="D170" i="2"/>
  <c r="D169" i="2"/>
  <c r="D168" i="2"/>
  <c r="D166" i="2"/>
  <c r="D165" i="2"/>
  <c r="D164" i="2"/>
  <c r="D163" i="2"/>
  <c r="D162" i="2"/>
  <c r="D161" i="2"/>
  <c r="D160" i="2"/>
  <c r="F159" i="2"/>
  <c r="D159" i="2"/>
  <c r="D158" i="2"/>
  <c r="D155" i="2"/>
  <c r="D154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95" i="2"/>
  <c r="D94" i="2"/>
  <c r="D93" i="2"/>
  <c r="D92" i="2"/>
  <c r="D91" i="2"/>
  <c r="D90" i="2"/>
  <c r="D89" i="2"/>
  <c r="D87" i="2"/>
  <c r="D86" i="2"/>
  <c r="D85" i="2"/>
  <c r="F85" i="2"/>
  <c r="D83" i="2"/>
  <c r="D82" i="2"/>
  <c r="D81" i="2"/>
  <c r="D80" i="2"/>
  <c r="D84" i="2"/>
  <c r="D55" i="2"/>
</calcChain>
</file>

<file path=xl/sharedStrings.xml><?xml version="1.0" encoding="utf-8"?>
<sst xmlns="http://schemas.openxmlformats.org/spreadsheetml/2006/main" count="1665" uniqueCount="332">
  <si>
    <t>Chlorpromazine</t>
  </si>
  <si>
    <t>Glimepiride</t>
  </si>
  <si>
    <t>Pioglitazone</t>
  </si>
  <si>
    <t>Rosiglitazone</t>
  </si>
  <si>
    <t>Bicalutamide</t>
  </si>
  <si>
    <t>Bosentan</t>
  </si>
  <si>
    <t>Deferasirox</t>
  </si>
  <si>
    <t>Fluoxetine</t>
  </si>
  <si>
    <t>Flutamide</t>
  </si>
  <si>
    <t>Ketoconazole</t>
  </si>
  <si>
    <t>Ritonavir</t>
  </si>
  <si>
    <t>Saquinavir</t>
  </si>
  <si>
    <t>Troglitazone</t>
  </si>
  <si>
    <t>Abbreviation</t>
  </si>
  <si>
    <t>BOS</t>
  </si>
  <si>
    <t>FXT</t>
  </si>
  <si>
    <t>DFX</t>
  </si>
  <si>
    <t>FL</t>
  </si>
  <si>
    <t>KCZ</t>
  </si>
  <si>
    <t>RTV</t>
  </si>
  <si>
    <t>SQV</t>
  </si>
  <si>
    <t>TGL</t>
  </si>
  <si>
    <t>CPZ</t>
  </si>
  <si>
    <t>CsA</t>
  </si>
  <si>
    <t>GLIM</t>
  </si>
  <si>
    <t>PGL</t>
  </si>
  <si>
    <t>RG</t>
  </si>
  <si>
    <t>TRA</t>
  </si>
  <si>
    <t>BCT</t>
  </si>
  <si>
    <t>Cmax</t>
  </si>
  <si>
    <t>mg/kg bw</t>
  </si>
  <si>
    <t>mg/L</t>
  </si>
  <si>
    <t>Midha1990</t>
  </si>
  <si>
    <t>https://www.sciencedirect.com/science/article/abs/pii/S0022354915481870</t>
  </si>
  <si>
    <t>refernce formulation (sugar coated), GCMS data, test formulation excluded</t>
  </si>
  <si>
    <t>Yeung1993</t>
  </si>
  <si>
    <t>https://link.springer.com/content/pdf/10.1007%2FBF00315316.pdf</t>
  </si>
  <si>
    <t/>
  </si>
  <si>
    <t>Borges2011</t>
  </si>
  <si>
    <t>https://www.sciencedirect.com/science/article/pii/S1570023211006854?via%3Dihub</t>
  </si>
  <si>
    <t>reference formulation (test formulation excluded)</t>
  </si>
  <si>
    <t>Midha1989</t>
  </si>
  <si>
    <t>https://www.ncbi.nlm.nih.gov/pubmed/2708554</t>
  </si>
  <si>
    <t>DellaCorte1993</t>
  </si>
  <si>
    <t>https://www.ncbi.nlm.nih.gov/pubmed/7903373</t>
  </si>
  <si>
    <t>Pantuck1982</t>
  </si>
  <si>
    <t>https://ascpt.onlinelibrary.wiley.com/doi/abs/10.1038/clpt.1982.72?sid=nlm%3Apubmed</t>
  </si>
  <si>
    <t>nonsmokers (smokers excluded)</t>
  </si>
  <si>
    <t>CAS</t>
  </si>
  <si>
    <t>dose</t>
  </si>
  <si>
    <t>dose.units</t>
  </si>
  <si>
    <t>Cmax.units</t>
  </si>
  <si>
    <t>reference</t>
  </si>
  <si>
    <t>original.reference</t>
  </si>
  <si>
    <t>link</t>
  </si>
  <si>
    <t>147536-97-8</t>
  </si>
  <si>
    <t>Dingemanse2002a</t>
  </si>
  <si>
    <t>https://accp1.onlinelibrary.wiley.com/doi/epdf/10.1177/00912700222011300</t>
  </si>
  <si>
    <t xml:space="preserve">average of fed (tablet), fasted (tabled) and fasted (suspension) </t>
  </si>
  <si>
    <t>Dingemanse2002b</t>
  </si>
  <si>
    <t>https://www.ncbi.nlm.nih.gov/pubmed/12139208     abstract and in       https://link.springer.com/article/10.2165%2F00003088-200443150-00003</t>
  </si>
  <si>
    <t>only results of the healthy subjects included</t>
  </si>
  <si>
    <t>Giersbergen2002</t>
  </si>
  <si>
    <t>https://www.ncbi.nlm.nih.gov/pmc/articles/PMC1874330/</t>
  </si>
  <si>
    <t xml:space="preserve">multiple doses given (ones a day). </t>
  </si>
  <si>
    <t>Weber1996</t>
  </si>
  <si>
    <t>https://ascpt.onlinelibrary.wiley.com/doi/pdf/10.1016/S0009-9236%2896%2990127-7</t>
  </si>
  <si>
    <t>1200 and 2400 mg doses omitted from the dataset due to saturation</t>
  </si>
  <si>
    <t>Weber1999</t>
  </si>
  <si>
    <t>https://accp1.onlinelibrary.wiley.com/doi/epdf/10.1177/00912709922008344</t>
  </si>
  <si>
    <t>multiple doses given (ones a day). 1000 mg dose omitted from the dataset due to saturation</t>
  </si>
  <si>
    <t>Giersbergen2003</t>
  </si>
  <si>
    <t>https://accp1.onlinelibrary.wiley.com/doi/epdf/10.1177/0091270002239701</t>
  </si>
  <si>
    <t>only healthy subjects included</t>
  </si>
  <si>
    <t>n</t>
  </si>
  <si>
    <t>201530-41-8</t>
  </si>
  <si>
    <t>54910-89-3</t>
  </si>
  <si>
    <t>13311-84-7</t>
  </si>
  <si>
    <t>65277-42-1</t>
  </si>
  <si>
    <t>155213-67-5</t>
  </si>
  <si>
    <t>127779-20-8</t>
  </si>
  <si>
    <t>97322-87-7</t>
  </si>
  <si>
    <t>59865-13-3</t>
  </si>
  <si>
    <t>261361-60-8</t>
  </si>
  <si>
    <t>Trazodone</t>
  </si>
  <si>
    <t>19794-93-5</t>
  </si>
  <si>
    <t>((TITLE (“compound name”) AND ALL (bioavailability OR pharmacokinetics OR kinetics)) AND ((human OR man OR volunteer OR subject ) ) AND (Cmax OR “c max” OR “maximal concentration” OR “maximum concentration” OR “peak concentration” ) )</t>
  </si>
  <si>
    <t>Kropeit 2018</t>
  </si>
  <si>
    <t>blood_plasma</t>
  </si>
  <si>
    <t>blood</t>
  </si>
  <si>
    <t>plasma</t>
  </si>
  <si>
    <t>Malerczyk 1994</t>
  </si>
  <si>
    <t>Pistos 2005</t>
  </si>
  <si>
    <t>Jovanovic2006</t>
  </si>
  <si>
    <t>Ju2020</t>
  </si>
  <si>
    <t>Yoo2020</t>
  </si>
  <si>
    <t>Dawra2019</t>
  </si>
  <si>
    <t>Amtul2016</t>
  </si>
  <si>
    <t>Helmy2013</t>
  </si>
  <si>
    <t>Yun2010</t>
  </si>
  <si>
    <t>serum</t>
  </si>
  <si>
    <t>reference tablets</t>
  </si>
  <si>
    <t>Malerczyk 1995</t>
  </si>
  <si>
    <t>reference tablets, average of fasted and fed state</t>
  </si>
  <si>
    <t>no access</t>
  </si>
  <si>
    <t>Eckland2000</t>
  </si>
  <si>
    <t>Edema2018</t>
  </si>
  <si>
    <t>Pattana 2007</t>
  </si>
  <si>
    <t>Sujata2008</t>
  </si>
  <si>
    <t>Brown 2010</t>
  </si>
  <si>
    <t>Kasichayanula 2011</t>
  </si>
  <si>
    <t>Saha2014</t>
  </si>
  <si>
    <t>Yun 2016</t>
  </si>
  <si>
    <t>Wittayalertpanya 2006</t>
  </si>
  <si>
    <t>Jaakola2004</t>
  </si>
  <si>
    <t>Jaakola2005</t>
  </si>
  <si>
    <t>reference tables</t>
  </si>
  <si>
    <t>could not open supplementary file with body weight of participants; assumed 70 kg</t>
  </si>
  <si>
    <t>body weight of participants; assumed 70 kg</t>
  </si>
  <si>
    <t>administration.route</t>
  </si>
  <si>
    <t>oral</t>
  </si>
  <si>
    <t>reference formulation</t>
  </si>
  <si>
    <t>Koytchev2004</t>
  </si>
  <si>
    <t>Braeckman 2015</t>
  </si>
  <si>
    <t>Chapelsky 2003</t>
  </si>
  <si>
    <t>Taiwanese</t>
  </si>
  <si>
    <t>Chu 2007</t>
  </si>
  <si>
    <t>Cox2000</t>
  </si>
  <si>
    <t>Freed1999</t>
  </si>
  <si>
    <t>average fasted and fed state</t>
  </si>
  <si>
    <t>bw of 70 kg assumed</t>
  </si>
  <si>
    <t>He2014</t>
  </si>
  <si>
    <t>Kim2005</t>
  </si>
  <si>
    <t xml:space="preserve">bw middle of reported range assumed </t>
  </si>
  <si>
    <t>Kosoglou 2015</t>
  </si>
  <si>
    <t>Miller 2002</t>
  </si>
  <si>
    <t>Miller 2001</t>
  </si>
  <si>
    <t xml:space="preserve">plasma </t>
  </si>
  <si>
    <t>Naik2012</t>
  </si>
  <si>
    <t>Niemi2003</t>
  </si>
  <si>
    <t>bw middle of reported range assumed</t>
  </si>
  <si>
    <t>Niemi2004</t>
  </si>
  <si>
    <t>Rao2002</t>
  </si>
  <si>
    <t>Schwartz2009</t>
  </si>
  <si>
    <t>Sauresh Kumar2008</t>
  </si>
  <si>
    <t xml:space="preserve">generic product </t>
  </si>
  <si>
    <t>Wittayalertpanya 2010</t>
  </si>
  <si>
    <t>Wing 2018</t>
  </si>
  <si>
    <t>Yusuf2006</t>
  </si>
  <si>
    <t>average of formulation A and B</t>
  </si>
  <si>
    <t>Ankier 1981</t>
  </si>
  <si>
    <t xml:space="preserve">Trittico XR </t>
  </si>
  <si>
    <t>Danielak2020</t>
  </si>
  <si>
    <t>Farkas 2009</t>
  </si>
  <si>
    <t>Gammans 1984</t>
  </si>
  <si>
    <t>average of formulation a, b and solution. All formulations are proven bioequivalent</t>
  </si>
  <si>
    <t>Kale2015</t>
  </si>
  <si>
    <t>reference product, 70 kg bw assumed</t>
  </si>
  <si>
    <t>average of Taiwanese, Caucasian, Japanese, Korean and Mainland Chinese, because there were no significant differences in Cmax after normalization for dose and weight</t>
  </si>
  <si>
    <t>Criteria</t>
  </si>
  <si>
    <t>Healthy adults</t>
  </si>
  <si>
    <t>average of two studies reported in one article</t>
  </si>
  <si>
    <t>Search string</t>
  </si>
  <si>
    <t>Ruggieri2020</t>
  </si>
  <si>
    <t>bw of 70 kg assumed (caucasians)</t>
  </si>
  <si>
    <t>middle of reported weight range</t>
  </si>
  <si>
    <t>Kumar2009</t>
  </si>
  <si>
    <t>Lu 2012</t>
  </si>
  <si>
    <t>average of reported weight range, reference tablet, average of fast and fed state</t>
  </si>
  <si>
    <t>Cockshott1997</t>
  </si>
  <si>
    <t>R enantiomer is the clinically relevant. Average of fast and fed state for the R enantiomer. S enantiomer is only ~1% of the AUC of BCT</t>
  </si>
  <si>
    <t>compound</t>
  </si>
  <si>
    <t>Mazzu2000</t>
  </si>
  <si>
    <t>S and R-fluoxetine combined</t>
  </si>
  <si>
    <t>D'Souza2001</t>
  </si>
  <si>
    <t>Addison1998</t>
  </si>
  <si>
    <t>capsules</t>
  </si>
  <si>
    <t>Floriddia2000</t>
  </si>
  <si>
    <t>Kondratenko2019</t>
  </si>
  <si>
    <t>suggests that there are poor and extensive metabolizers: extensive metabolizers</t>
  </si>
  <si>
    <t>Moraes1999</t>
  </si>
  <si>
    <t>Najib2005</t>
  </si>
  <si>
    <t>reference formulation (prozac)</t>
  </si>
  <si>
    <t>extensive metabolizers only, reference formulation</t>
  </si>
  <si>
    <t>Shi2010</t>
  </si>
  <si>
    <t>HPLC-UV</t>
  </si>
  <si>
    <t>Haloperidol</t>
  </si>
  <si>
    <t>HL</t>
  </si>
  <si>
    <t>52-86-8</t>
  </si>
  <si>
    <t>Lovastatin</t>
  </si>
  <si>
    <t>LOV</t>
  </si>
  <si>
    <t>75330-75-5</t>
  </si>
  <si>
    <t>Cyclosporine</t>
  </si>
  <si>
    <t>90357-06-5</t>
  </si>
  <si>
    <t>34468-21-8</t>
  </si>
  <si>
    <t>Young1993</t>
  </si>
  <si>
    <t>Yun2005</t>
  </si>
  <si>
    <t>prozac</t>
  </si>
  <si>
    <t>Khaliq2001</t>
  </si>
  <si>
    <t>added (AND NOT "atazanavir/ritonvir OR saquinavir/ritonavir OR lopinvair/ritonavir") to search string, norvir</t>
  </si>
  <si>
    <t>Ouellet1998</t>
  </si>
  <si>
    <t>VandenAbeele2020</t>
  </si>
  <si>
    <t>huge variation in Cmax: 85.4 - 1848 nM , bw of 70 kg assumed</t>
  </si>
  <si>
    <t>ritonavir is typically coadministered with other drugs. Data for rotinavir alone is scarce.</t>
  </si>
  <si>
    <t>invirase</t>
  </si>
  <si>
    <t>Frohlich2004</t>
  </si>
  <si>
    <t>Shaefer1995</t>
  </si>
  <si>
    <t>Sandimmune formulation, wide scatter in Cmax</t>
  </si>
  <si>
    <t>Palma-Aguirre1997</t>
  </si>
  <si>
    <t>Kwon1995</t>
  </si>
  <si>
    <t>bw of 70 kg assumed (caucasians), sandimmune formulation, HPLC</t>
  </si>
  <si>
    <t>Mueller1993</t>
  </si>
  <si>
    <t>sandimmune formulation</t>
  </si>
  <si>
    <t>brand unclear, polyclonal fluorescence polarization immunoassay</t>
  </si>
  <si>
    <t>HPLC</t>
  </si>
  <si>
    <t>Young1998</t>
  </si>
  <si>
    <t xml:space="preserve">bw of 70 kg assumed </t>
  </si>
  <si>
    <t>significant effect of food. Average of fast and fed state</t>
  </si>
  <si>
    <t>Vella1998</t>
  </si>
  <si>
    <t>reference tablets, Haldol</t>
  </si>
  <si>
    <t>reference tablet = peridol</t>
  </si>
  <si>
    <t>155141-29-0</t>
  </si>
  <si>
    <t>highly variable, geriatric individuals</t>
  </si>
  <si>
    <t>Radwanski 1989</t>
  </si>
  <si>
    <t>Doser1997</t>
  </si>
  <si>
    <t>Katchen1975</t>
  </si>
  <si>
    <t>tritium labeled flutamide</t>
  </si>
  <si>
    <t>Daneshmend1984</t>
  </si>
  <si>
    <t>fasting</t>
  </si>
  <si>
    <t>Baxter1985</t>
  </si>
  <si>
    <t>Blum1991</t>
  </si>
  <si>
    <t>jansen</t>
  </si>
  <si>
    <t>Carver1992</t>
  </si>
  <si>
    <t>Chin 1995</t>
  </si>
  <si>
    <t>Nizoral, Jansen, 70 kg bw assumed</t>
  </si>
  <si>
    <t>Hsu1997</t>
  </si>
  <si>
    <t>Nizoral Janssen</t>
  </si>
  <si>
    <t>janssen, tablet</t>
  </si>
  <si>
    <t>janssen, solution</t>
  </si>
  <si>
    <t>nizoril, from janssen, 70kg bw assumed</t>
  </si>
  <si>
    <t>supension</t>
  </si>
  <si>
    <t>solution</t>
  </si>
  <si>
    <t>Huang1986</t>
  </si>
  <si>
    <t>Mannisto1982</t>
  </si>
  <si>
    <t>Janssen</t>
  </si>
  <si>
    <t>Marcelin-Jimine2004</t>
  </si>
  <si>
    <t>Solomon2007</t>
  </si>
  <si>
    <t>Yuen1999</t>
  </si>
  <si>
    <t>Lelawongs1988</t>
  </si>
  <si>
    <t>after fast</t>
  </si>
  <si>
    <t>Schaferkorting-1984</t>
  </si>
  <si>
    <t>reference formulation (brand not mentioned), bw is assumed to be 70 kg</t>
  </si>
  <si>
    <t>Azie1998</t>
  </si>
  <si>
    <t>Bramer1999</t>
  </si>
  <si>
    <t>Mevacor</t>
  </si>
  <si>
    <t>Mevinacor MSD, lovastatin lactone, Merck Sharp and Dohme, bw 70 kg assumed</t>
  </si>
  <si>
    <t>Bucher2002</t>
  </si>
  <si>
    <t>Chen2013</t>
  </si>
  <si>
    <t>Mevacor, bw of 70 kg assumed</t>
  </si>
  <si>
    <t>Dieterle2005</t>
  </si>
  <si>
    <t>Donovan2002</t>
  </si>
  <si>
    <t>with dinner</t>
  </si>
  <si>
    <t>Guan2018</t>
  </si>
  <si>
    <t>Kantola1998</t>
  </si>
  <si>
    <t>administered with water (not grapefruit)</t>
  </si>
  <si>
    <t>Kivisto1998</t>
  </si>
  <si>
    <t>mevacor, MSD</t>
  </si>
  <si>
    <t>Kryrklund2001</t>
  </si>
  <si>
    <t>lovacol, Orion Pharma</t>
  </si>
  <si>
    <t>mevacor</t>
  </si>
  <si>
    <t>Menon2007</t>
  </si>
  <si>
    <t>Mignini2008</t>
  </si>
  <si>
    <t>75330-75-8</t>
  </si>
  <si>
    <t>75330-75-9</t>
  </si>
  <si>
    <t>mevinacor, MSD, bw of 70 kg assumed</t>
  </si>
  <si>
    <t>Tornio2015</t>
  </si>
  <si>
    <t>lovacol, Orion Oyj</t>
  </si>
  <si>
    <t>Zhao1995</t>
  </si>
  <si>
    <t>merck, MSD, GC-MS data, bw of 70 kg assumed</t>
  </si>
  <si>
    <t>novartis pharmaceuticals</t>
  </si>
  <si>
    <t>Chen2020</t>
  </si>
  <si>
    <t>Chirnomas2009</t>
  </si>
  <si>
    <t>responders were selected, novartis</t>
  </si>
  <si>
    <t>Paramanindita2021</t>
  </si>
  <si>
    <t>Exjade dispersible tablet novartis</t>
  </si>
  <si>
    <t>Skerjanec 2010</t>
  </si>
  <si>
    <t>111025-46-8</t>
  </si>
  <si>
    <t>AT</t>
  </si>
  <si>
    <t>134523-00-5</t>
  </si>
  <si>
    <t>Abdelkway2020</t>
  </si>
  <si>
    <t>Anderson2022</t>
  </si>
  <si>
    <t>Caro2021</t>
  </si>
  <si>
    <t>reference tablet, pfizer</t>
  </si>
  <si>
    <t>Danafar2015</t>
  </si>
  <si>
    <t>delaPena2017</t>
  </si>
  <si>
    <t>Elmekawy2020</t>
  </si>
  <si>
    <t>lipitor, Pfizer</t>
  </si>
  <si>
    <t>Fukazawa2004</t>
  </si>
  <si>
    <t>Gandelman2011</t>
  </si>
  <si>
    <t>Atorvastatin</t>
  </si>
  <si>
    <t>Groenendaal-vandemeent2022</t>
  </si>
  <si>
    <t>Guo2012</t>
  </si>
  <si>
    <t>Huang2017</t>
  </si>
  <si>
    <t>lipitor</t>
  </si>
  <si>
    <t>Khan2016</t>
  </si>
  <si>
    <t>Kim2022</t>
  </si>
  <si>
    <t>average tablet and suspension, same bioequivalence</t>
  </si>
  <si>
    <t>average 10 mg from two studies</t>
  </si>
  <si>
    <t>average 80 mg from two studies</t>
  </si>
  <si>
    <t>Nizoral Janssen, average of fast, high-fat and high-carbohydrate meal</t>
  </si>
  <si>
    <t>exjade, dispersed in water</t>
  </si>
  <si>
    <t>Sechaud2008</t>
  </si>
  <si>
    <t>exjade, suspension in water</t>
  </si>
  <si>
    <t>Sechaud2009</t>
  </si>
  <si>
    <t>PDD.max</t>
  </si>
  <si>
    <t>Lilja1999</t>
  </si>
  <si>
    <t>Liu2010</t>
  </si>
  <si>
    <t>lipitor, Chinese population</t>
  </si>
  <si>
    <t>Ma2007</t>
  </si>
  <si>
    <t>McCrea2022</t>
  </si>
  <si>
    <t>McKeand2018</t>
  </si>
  <si>
    <t>Mendoza2006</t>
  </si>
  <si>
    <t>Patino-Rodriguez2015</t>
  </si>
  <si>
    <t>Pham2009</t>
  </si>
  <si>
    <t>average of reference and test formulation (brands are unclear</t>
  </si>
  <si>
    <t>Sohail2016</t>
  </si>
  <si>
    <t>Teng2013</t>
  </si>
  <si>
    <t>Single oral dose in vivo data available, at least 2 or more studies</t>
  </si>
  <si>
    <t>maximal prescribed daily dose</t>
  </si>
  <si>
    <t>Drugs are causally linked to the development of DILI by the FDA</t>
  </si>
  <si>
    <t>IC50 for bile acid efflux measured in Zhang (2016) and below 100 µM</t>
  </si>
  <si>
    <t>classified in group 1 or 3 (Zhang), DILI not immune mediated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</si>
</sst>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022354915481870" TargetMode="External"/><Relationship Id="rId1" Type="http://schemas.openxmlformats.org/officeDocument/2006/relationships/hyperlink" Target="https://ascpt.onlinelibrary.wiley.com/doi/pdf/10.1016/S0009-9236%2896%2990127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6242-BAEA-4447-B722-1B1E51E656F6}">
  <dimension ref="A1:B9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162</v>
      </c>
      <c r="B1" t="s">
        <v>86</v>
      </c>
    </row>
    <row r="3" spans="1:2" x14ac:dyDescent="0.25">
      <c r="A3" t="s">
        <v>159</v>
      </c>
      <c r="B3" t="s">
        <v>329</v>
      </c>
    </row>
    <row r="4" spans="1:2" x14ac:dyDescent="0.25">
      <c r="B4" t="s">
        <v>327</v>
      </c>
    </row>
    <row r="5" spans="1:2" x14ac:dyDescent="0.25">
      <c r="B5" t="s">
        <v>160</v>
      </c>
    </row>
    <row r="6" spans="1:2" x14ac:dyDescent="0.25">
      <c r="B6" t="s">
        <v>330</v>
      </c>
    </row>
    <row r="7" spans="1:2" x14ac:dyDescent="0.25">
      <c r="B7" t="s">
        <v>331</v>
      </c>
    </row>
    <row r="9" spans="1:2" x14ac:dyDescent="0.25">
      <c r="A9" t="s">
        <v>314</v>
      </c>
      <c r="B9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A35E-71E3-48EC-BDB7-2C3BF7596713}">
  <dimension ref="A1:O188"/>
  <sheetViews>
    <sheetView tabSelected="1" topLeftCell="A159" workbookViewId="0">
      <selection activeCell="I176" sqref="I176"/>
    </sheetView>
  </sheetViews>
  <sheetFormatPr defaultRowHeight="15" x14ac:dyDescent="0.25"/>
  <cols>
    <col min="1" max="1" width="18.5703125" customWidth="1"/>
    <col min="2" max="2" width="8.5703125" customWidth="1"/>
    <col min="3" max="3" width="13" customWidth="1"/>
    <col min="4" max="4" width="10" bestFit="1" customWidth="1"/>
    <col min="6" max="6" width="12" bestFit="1" customWidth="1"/>
    <col min="11" max="11" width="11.7109375" customWidth="1"/>
    <col min="14" max="14" width="38.85546875" customWidth="1"/>
  </cols>
  <sheetData>
    <row r="1" spans="1:14" ht="21.75" customHeight="1" x14ac:dyDescent="0.25">
      <c r="A1" t="s">
        <v>171</v>
      </c>
      <c r="B1" t="s">
        <v>13</v>
      </c>
      <c r="C1" t="s">
        <v>48</v>
      </c>
      <c r="D1" t="s">
        <v>49</v>
      </c>
      <c r="E1" t="s">
        <v>50</v>
      </c>
      <c r="F1" t="s">
        <v>29</v>
      </c>
      <c r="G1" t="s">
        <v>51</v>
      </c>
      <c r="H1" t="s">
        <v>119</v>
      </c>
      <c r="I1" t="s">
        <v>74</v>
      </c>
      <c r="J1" t="s">
        <v>88</v>
      </c>
      <c r="K1" t="s">
        <v>52</v>
      </c>
      <c r="L1" t="s">
        <v>53</v>
      </c>
      <c r="M1" t="s">
        <v>54</v>
      </c>
    </row>
    <row r="2" spans="1:14" x14ac:dyDescent="0.25">
      <c r="A2" t="s">
        <v>299</v>
      </c>
      <c r="B2" t="s">
        <v>287</v>
      </c>
      <c r="C2" t="s">
        <v>288</v>
      </c>
      <c r="D2">
        <f>40/74</f>
        <v>0.54054054054054057</v>
      </c>
      <c r="E2" t="s">
        <v>30</v>
      </c>
      <c r="F2">
        <f>0.0149</f>
        <v>1.49E-2</v>
      </c>
      <c r="G2" t="s">
        <v>31</v>
      </c>
      <c r="H2" t="s">
        <v>120</v>
      </c>
      <c r="I2">
        <v>12</v>
      </c>
      <c r="J2" t="s">
        <v>90</v>
      </c>
      <c r="K2" t="s">
        <v>289</v>
      </c>
    </row>
    <row r="3" spans="1:14" x14ac:dyDescent="0.25">
      <c r="A3" t="s">
        <v>299</v>
      </c>
      <c r="B3" t="s">
        <v>287</v>
      </c>
      <c r="C3" t="s">
        <v>288</v>
      </c>
      <c r="D3">
        <f>40/69.4</f>
        <v>0.57636887608069165</v>
      </c>
      <c r="E3" t="s">
        <v>30</v>
      </c>
      <c r="F3">
        <f>19.7/1000</f>
        <v>1.9699999999999999E-2</v>
      </c>
      <c r="G3" t="s">
        <v>31</v>
      </c>
      <c r="H3" t="s">
        <v>120</v>
      </c>
      <c r="I3">
        <v>25</v>
      </c>
      <c r="J3" t="s">
        <v>90</v>
      </c>
      <c r="K3" t="s">
        <v>290</v>
      </c>
    </row>
    <row r="4" spans="1:14" x14ac:dyDescent="0.25">
      <c r="A4" t="s">
        <v>299</v>
      </c>
      <c r="B4" t="s">
        <v>287</v>
      </c>
      <c r="C4" t="s">
        <v>288</v>
      </c>
      <c r="D4">
        <f>10/70</f>
        <v>0.14285714285714285</v>
      </c>
      <c r="E4" t="s">
        <v>30</v>
      </c>
      <c r="F4">
        <f>2.38/1000</f>
        <v>2.3799999999999997E-3</v>
      </c>
      <c r="G4" t="s">
        <v>31</v>
      </c>
      <c r="H4" t="s">
        <v>120</v>
      </c>
      <c r="I4">
        <v>16</v>
      </c>
      <c r="J4" t="s">
        <v>90</v>
      </c>
      <c r="K4" t="s">
        <v>291</v>
      </c>
      <c r="N4" t="s">
        <v>130</v>
      </c>
    </row>
    <row r="5" spans="1:14" x14ac:dyDescent="0.25">
      <c r="A5" t="s">
        <v>299</v>
      </c>
      <c r="B5" t="s">
        <v>287</v>
      </c>
      <c r="C5" t="s">
        <v>288</v>
      </c>
      <c r="D5">
        <f>40/70</f>
        <v>0.5714285714285714</v>
      </c>
      <c r="E5" t="s">
        <v>30</v>
      </c>
      <c r="F5">
        <f>62.16/1000</f>
        <v>6.216E-2</v>
      </c>
      <c r="G5" t="s">
        <v>31</v>
      </c>
      <c r="H5" t="s">
        <v>120</v>
      </c>
      <c r="I5">
        <v>24</v>
      </c>
      <c r="J5" t="s">
        <v>90</v>
      </c>
      <c r="K5" t="s">
        <v>293</v>
      </c>
      <c r="N5" t="s">
        <v>292</v>
      </c>
    </row>
    <row r="6" spans="1:14" x14ac:dyDescent="0.25">
      <c r="A6" t="s">
        <v>299</v>
      </c>
      <c r="B6" t="s">
        <v>287</v>
      </c>
      <c r="C6" t="s">
        <v>288</v>
      </c>
      <c r="D6">
        <f>40/72.3</f>
        <v>0.55325034578146615</v>
      </c>
      <c r="E6" t="s">
        <v>30</v>
      </c>
      <c r="F6">
        <f>19.5/1000</f>
        <v>1.95E-2</v>
      </c>
      <c r="G6" t="s">
        <v>31</v>
      </c>
      <c r="H6" t="s">
        <v>120</v>
      </c>
      <c r="I6">
        <v>27</v>
      </c>
      <c r="J6" t="s">
        <v>90</v>
      </c>
      <c r="K6" t="s">
        <v>294</v>
      </c>
    </row>
    <row r="7" spans="1:14" x14ac:dyDescent="0.25">
      <c r="A7" t="s">
        <v>299</v>
      </c>
      <c r="B7" t="s">
        <v>287</v>
      </c>
      <c r="C7" t="s">
        <v>288</v>
      </c>
      <c r="D7">
        <f>80/78</f>
        <v>1.0256410256410255</v>
      </c>
      <c r="E7" t="s">
        <v>30</v>
      </c>
      <c r="F7">
        <v>0.108</v>
      </c>
      <c r="G7" t="s">
        <v>31</v>
      </c>
      <c r="H7" t="s">
        <v>120</v>
      </c>
      <c r="I7">
        <v>12</v>
      </c>
      <c r="J7" t="s">
        <v>90</v>
      </c>
      <c r="K7" t="s">
        <v>295</v>
      </c>
      <c r="N7" t="s">
        <v>296</v>
      </c>
    </row>
    <row r="8" spans="1:14" x14ac:dyDescent="0.25">
      <c r="A8" t="s">
        <v>299</v>
      </c>
      <c r="B8" t="s">
        <v>287</v>
      </c>
      <c r="C8" t="s">
        <v>288</v>
      </c>
      <c r="D8">
        <f>10/((50.8+76.9)/2)</f>
        <v>0.15661707126076743</v>
      </c>
      <c r="E8" t="s">
        <v>30</v>
      </c>
      <c r="F8">
        <f>4.6/1000</f>
        <v>4.5999999999999999E-3</v>
      </c>
      <c r="G8" t="s">
        <v>31</v>
      </c>
      <c r="H8" t="s">
        <v>120</v>
      </c>
      <c r="I8">
        <v>10</v>
      </c>
      <c r="J8" t="s">
        <v>137</v>
      </c>
      <c r="K8" t="s">
        <v>297</v>
      </c>
    </row>
    <row r="9" spans="1:14" x14ac:dyDescent="0.25">
      <c r="A9" t="s">
        <v>299</v>
      </c>
      <c r="B9" t="s">
        <v>287</v>
      </c>
      <c r="C9" t="s">
        <v>288</v>
      </c>
      <c r="D9">
        <f>10/((66+71)/2)</f>
        <v>0.145985401459854</v>
      </c>
      <c r="E9" t="s">
        <v>30</v>
      </c>
      <c r="F9">
        <f>(2.56/1000+0.00351)/2</f>
        <v>3.0350000000000004E-3</v>
      </c>
      <c r="G9" t="s">
        <v>31</v>
      </c>
      <c r="H9" t="s">
        <v>120</v>
      </c>
      <c r="I9">
        <v>74</v>
      </c>
      <c r="J9" t="s">
        <v>137</v>
      </c>
      <c r="K9" t="s">
        <v>298</v>
      </c>
      <c r="N9" t="s">
        <v>307</v>
      </c>
    </row>
    <row r="10" spans="1:14" x14ac:dyDescent="0.25">
      <c r="A10" t="s">
        <v>299</v>
      </c>
      <c r="B10" t="s">
        <v>287</v>
      </c>
      <c r="C10" t="s">
        <v>288</v>
      </c>
      <c r="D10">
        <f>80/((74+79)/2)</f>
        <v>1.0457516339869282</v>
      </c>
      <c r="E10" t="s">
        <v>30</v>
      </c>
      <c r="F10">
        <f>(34.76/1000+0.02885)/2</f>
        <v>3.1805E-2</v>
      </c>
      <c r="G10" t="s">
        <v>31</v>
      </c>
      <c r="H10" t="s">
        <v>120</v>
      </c>
      <c r="I10">
        <v>73</v>
      </c>
      <c r="J10" t="s">
        <v>137</v>
      </c>
      <c r="K10" t="s">
        <v>298</v>
      </c>
      <c r="N10" t="s">
        <v>308</v>
      </c>
    </row>
    <row r="11" spans="1:14" x14ac:dyDescent="0.25">
      <c r="A11" t="s">
        <v>299</v>
      </c>
      <c r="B11" t="s">
        <v>287</v>
      </c>
      <c r="C11" t="s">
        <v>288</v>
      </c>
      <c r="D11">
        <f>40/76.8</f>
        <v>0.52083333333333337</v>
      </c>
      <c r="E11" t="s">
        <v>30</v>
      </c>
      <c r="F11">
        <f>16181/10^6</f>
        <v>1.6181000000000001E-2</v>
      </c>
      <c r="G11" t="s">
        <v>31</v>
      </c>
      <c r="H11" t="s">
        <v>120</v>
      </c>
      <c r="I11">
        <v>24</v>
      </c>
      <c r="J11" t="s">
        <v>90</v>
      </c>
      <c r="K11" t="s">
        <v>300</v>
      </c>
    </row>
    <row r="12" spans="1:14" x14ac:dyDescent="0.25">
      <c r="A12" t="s">
        <v>299</v>
      </c>
      <c r="B12" t="s">
        <v>287</v>
      </c>
      <c r="C12" t="s">
        <v>288</v>
      </c>
      <c r="D12">
        <f>40/65.2</f>
        <v>0.61349693251533743</v>
      </c>
      <c r="E12" t="s">
        <v>30</v>
      </c>
      <c r="F12">
        <f>20.22/1000</f>
        <v>2.0219999999999998E-2</v>
      </c>
      <c r="G12" t="s">
        <v>31</v>
      </c>
      <c r="H12" t="s">
        <v>120</v>
      </c>
      <c r="I12">
        <v>16</v>
      </c>
      <c r="J12" t="s">
        <v>90</v>
      </c>
      <c r="K12" t="s">
        <v>301</v>
      </c>
    </row>
    <row r="13" spans="1:14" x14ac:dyDescent="0.25">
      <c r="A13" t="s">
        <v>299</v>
      </c>
      <c r="B13" t="s">
        <v>287</v>
      </c>
      <c r="C13" t="s">
        <v>288</v>
      </c>
      <c r="D13">
        <f>10/78.2</f>
        <v>0.12787723785166241</v>
      </c>
      <c r="E13" t="s">
        <v>30</v>
      </c>
      <c r="F13">
        <f>0.94/1000</f>
        <v>9.3999999999999997E-4</v>
      </c>
      <c r="G13" t="s">
        <v>31</v>
      </c>
      <c r="H13" t="s">
        <v>120</v>
      </c>
      <c r="I13">
        <v>16</v>
      </c>
      <c r="J13" t="s">
        <v>90</v>
      </c>
      <c r="K13" t="s">
        <v>302</v>
      </c>
    </row>
    <row r="14" spans="1:14" x14ac:dyDescent="0.25">
      <c r="A14" t="s">
        <v>299</v>
      </c>
      <c r="B14" t="s">
        <v>287</v>
      </c>
      <c r="C14" t="s">
        <v>288</v>
      </c>
      <c r="D14">
        <f>80/70</f>
        <v>1.1428571428571428</v>
      </c>
      <c r="E14" t="s">
        <v>30</v>
      </c>
      <c r="F14">
        <v>2.3970000000000002E-2</v>
      </c>
      <c r="G14" t="s">
        <v>31</v>
      </c>
      <c r="H14" t="s">
        <v>120</v>
      </c>
      <c r="I14">
        <v>24</v>
      </c>
      <c r="J14" t="s">
        <v>90</v>
      </c>
      <c r="K14" t="s">
        <v>304</v>
      </c>
      <c r="N14" t="s">
        <v>303</v>
      </c>
    </row>
    <row r="15" spans="1:14" x14ac:dyDescent="0.25">
      <c r="A15" t="s">
        <v>299</v>
      </c>
      <c r="B15" t="s">
        <v>287</v>
      </c>
      <c r="C15" t="s">
        <v>288</v>
      </c>
      <c r="D15">
        <f>80/68.6</f>
        <v>1.1661807580174928</v>
      </c>
      <c r="E15" t="s">
        <v>30</v>
      </c>
      <c r="F15">
        <v>8.4330000000000002E-2</v>
      </c>
      <c r="G15" t="s">
        <v>31</v>
      </c>
      <c r="H15" t="s">
        <v>120</v>
      </c>
      <c r="I15">
        <v>35</v>
      </c>
      <c r="J15" t="s">
        <v>90</v>
      </c>
      <c r="K15" t="s">
        <v>305</v>
      </c>
    </row>
    <row r="16" spans="1:14" x14ac:dyDescent="0.25">
      <c r="A16" t="s">
        <v>299</v>
      </c>
      <c r="B16" t="s">
        <v>287</v>
      </c>
      <c r="C16" t="s">
        <v>288</v>
      </c>
      <c r="D16">
        <f>40/72</f>
        <v>0.55555555555555558</v>
      </c>
      <c r="E16" t="s">
        <v>30</v>
      </c>
      <c r="F16">
        <f>0.01705</f>
        <v>1.7049999999999999E-2</v>
      </c>
      <c r="G16" t="s">
        <v>31</v>
      </c>
      <c r="H16" t="s">
        <v>120</v>
      </c>
      <c r="I16">
        <v>24</v>
      </c>
      <c r="J16" t="s">
        <v>90</v>
      </c>
      <c r="K16" t="s">
        <v>122</v>
      </c>
    </row>
    <row r="17" spans="1:14" x14ac:dyDescent="0.25">
      <c r="A17" t="s">
        <v>299</v>
      </c>
      <c r="B17" t="s">
        <v>287</v>
      </c>
      <c r="C17" t="s">
        <v>288</v>
      </c>
      <c r="D17">
        <f>40/67.7</f>
        <v>0.59084194977843429</v>
      </c>
      <c r="E17" t="s">
        <v>30</v>
      </c>
      <c r="F17">
        <f>12.7/1000</f>
        <v>1.2699999999999999E-2</v>
      </c>
      <c r="G17" t="s">
        <v>31</v>
      </c>
      <c r="H17" t="s">
        <v>120</v>
      </c>
      <c r="I17">
        <v>12</v>
      </c>
      <c r="J17" t="s">
        <v>90</v>
      </c>
      <c r="K17" t="s">
        <v>315</v>
      </c>
    </row>
    <row r="18" spans="1:14" x14ac:dyDescent="0.25">
      <c r="A18" t="s">
        <v>299</v>
      </c>
      <c r="B18" t="s">
        <v>287</v>
      </c>
      <c r="C18" t="s">
        <v>288</v>
      </c>
      <c r="D18">
        <f>20/64.6</f>
        <v>0.30959752321981426</v>
      </c>
      <c r="E18" t="s">
        <v>30</v>
      </c>
      <c r="F18">
        <f>8.78/1000</f>
        <v>8.7799999999999996E-3</v>
      </c>
      <c r="G18" t="s">
        <v>31</v>
      </c>
      <c r="H18" t="s">
        <v>120</v>
      </c>
      <c r="I18">
        <v>20</v>
      </c>
      <c r="J18" t="s">
        <v>90</v>
      </c>
      <c r="K18" t="s">
        <v>316</v>
      </c>
      <c r="N18" t="s">
        <v>317</v>
      </c>
    </row>
    <row r="19" spans="1:14" x14ac:dyDescent="0.25">
      <c r="A19" t="s">
        <v>299</v>
      </c>
      <c r="B19" t="s">
        <v>287</v>
      </c>
      <c r="C19" t="s">
        <v>288</v>
      </c>
      <c r="D19">
        <f>20/71</f>
        <v>0.28169014084507044</v>
      </c>
      <c r="E19" t="s">
        <v>30</v>
      </c>
      <c r="F19">
        <f>8.54/1000</f>
        <v>8.539999999999999E-3</v>
      </c>
      <c r="G19" t="s">
        <v>31</v>
      </c>
      <c r="H19" t="s">
        <v>120</v>
      </c>
      <c r="I19">
        <v>18</v>
      </c>
      <c r="J19" t="s">
        <v>90</v>
      </c>
      <c r="K19" t="s">
        <v>318</v>
      </c>
    </row>
    <row r="20" spans="1:14" x14ac:dyDescent="0.25">
      <c r="A20" t="s">
        <v>299</v>
      </c>
      <c r="B20" t="s">
        <v>287</v>
      </c>
      <c r="C20" t="s">
        <v>288</v>
      </c>
      <c r="D20">
        <f>20/77.6</f>
        <v>0.25773195876288663</v>
      </c>
      <c r="E20" t="s">
        <v>30</v>
      </c>
      <c r="F20">
        <f>8.6/1000</f>
        <v>8.6E-3</v>
      </c>
      <c r="G20" t="s">
        <v>31</v>
      </c>
      <c r="H20" t="s">
        <v>120</v>
      </c>
      <c r="I20">
        <v>18</v>
      </c>
      <c r="J20" t="s">
        <v>90</v>
      </c>
      <c r="K20" t="s">
        <v>172</v>
      </c>
    </row>
    <row r="21" spans="1:14" x14ac:dyDescent="0.25">
      <c r="A21" t="s">
        <v>299</v>
      </c>
      <c r="B21" t="s">
        <v>287</v>
      </c>
      <c r="C21" t="s">
        <v>288</v>
      </c>
      <c r="D21">
        <f>20/68.9</f>
        <v>0.29027576197387517</v>
      </c>
      <c r="E21" t="s">
        <v>30</v>
      </c>
      <c r="F21">
        <f>8.197/1000</f>
        <v>8.1969999999999994E-3</v>
      </c>
      <c r="G21" t="s">
        <v>31</v>
      </c>
      <c r="H21" t="s">
        <v>120</v>
      </c>
      <c r="I21">
        <v>13</v>
      </c>
      <c r="J21" t="s">
        <v>90</v>
      </c>
      <c r="K21" t="s">
        <v>319</v>
      </c>
    </row>
    <row r="22" spans="1:14" x14ac:dyDescent="0.25">
      <c r="A22" t="s">
        <v>299</v>
      </c>
      <c r="B22" t="s">
        <v>287</v>
      </c>
      <c r="C22" t="s">
        <v>288</v>
      </c>
      <c r="D22">
        <f>20/65</f>
        <v>0.30769230769230771</v>
      </c>
      <c r="E22" t="s">
        <v>30</v>
      </c>
      <c r="F22">
        <f>8.8/1000</f>
        <v>8.8000000000000005E-3</v>
      </c>
      <c r="G22" t="s">
        <v>31</v>
      </c>
      <c r="H22" t="s">
        <v>120</v>
      </c>
      <c r="I22">
        <v>31</v>
      </c>
      <c r="J22" t="s">
        <v>90</v>
      </c>
      <c r="K22" t="s">
        <v>320</v>
      </c>
    </row>
    <row r="23" spans="1:14" x14ac:dyDescent="0.25">
      <c r="A23" t="s">
        <v>299</v>
      </c>
      <c r="B23" t="s">
        <v>287</v>
      </c>
      <c r="C23" t="s">
        <v>288</v>
      </c>
      <c r="D23">
        <f>40/78.2</f>
        <v>0.51150895140664965</v>
      </c>
      <c r="E23" t="s">
        <v>30</v>
      </c>
      <c r="F23">
        <f>11.76/1000</f>
        <v>1.176E-2</v>
      </c>
      <c r="G23" t="s">
        <v>31</v>
      </c>
      <c r="H23" t="s">
        <v>120</v>
      </c>
      <c r="I23">
        <v>52</v>
      </c>
      <c r="J23" t="s">
        <v>90</v>
      </c>
      <c r="K23" t="s">
        <v>321</v>
      </c>
      <c r="N23" t="s">
        <v>303</v>
      </c>
    </row>
    <row r="24" spans="1:14" x14ac:dyDescent="0.25">
      <c r="A24" t="s">
        <v>299</v>
      </c>
      <c r="B24" t="s">
        <v>287</v>
      </c>
      <c r="C24" t="s">
        <v>288</v>
      </c>
      <c r="D24">
        <f>20/62.15</f>
        <v>0.32180209171359614</v>
      </c>
      <c r="E24" t="s">
        <v>30</v>
      </c>
      <c r="F24">
        <f>5.39/1000</f>
        <v>5.3899999999999998E-3</v>
      </c>
      <c r="G24" t="s">
        <v>31</v>
      </c>
      <c r="H24" t="s">
        <v>120</v>
      </c>
      <c r="I24">
        <v>36</v>
      </c>
      <c r="J24" t="s">
        <v>90</v>
      </c>
      <c r="K24" t="s">
        <v>322</v>
      </c>
    </row>
    <row r="25" spans="1:14" x14ac:dyDescent="0.25">
      <c r="A25" t="s">
        <v>299</v>
      </c>
      <c r="B25" t="s">
        <v>287</v>
      </c>
      <c r="C25" t="s">
        <v>288</v>
      </c>
      <c r="D25">
        <f>40/72</f>
        <v>0.55555555555555558</v>
      </c>
      <c r="E25" t="s">
        <v>30</v>
      </c>
      <c r="F25">
        <f>17.6/1000</f>
        <v>1.7600000000000001E-2</v>
      </c>
      <c r="G25" t="s">
        <v>31</v>
      </c>
      <c r="H25" t="s">
        <v>120</v>
      </c>
      <c r="I25">
        <v>23</v>
      </c>
      <c r="J25" t="s">
        <v>90</v>
      </c>
      <c r="K25" t="s">
        <v>323</v>
      </c>
    </row>
    <row r="26" spans="1:14" x14ac:dyDescent="0.25">
      <c r="A26" t="s">
        <v>299</v>
      </c>
      <c r="B26" t="s">
        <v>287</v>
      </c>
      <c r="C26" t="s">
        <v>288</v>
      </c>
      <c r="D26">
        <f>40/70</f>
        <v>0.5714285714285714</v>
      </c>
      <c r="E26" t="s">
        <v>30</v>
      </c>
      <c r="F26">
        <f>(13.374+13.739)/2000</f>
        <v>1.3556499999999999E-2</v>
      </c>
      <c r="G26" t="s">
        <v>31</v>
      </c>
      <c r="H26" t="s">
        <v>120</v>
      </c>
      <c r="I26">
        <v>18</v>
      </c>
      <c r="J26" t="s">
        <v>90</v>
      </c>
      <c r="K26" t="s">
        <v>325</v>
      </c>
      <c r="N26" t="s">
        <v>324</v>
      </c>
    </row>
    <row r="27" spans="1:14" x14ac:dyDescent="0.25">
      <c r="A27" t="s">
        <v>299</v>
      </c>
      <c r="B27" t="s">
        <v>287</v>
      </c>
      <c r="C27" t="s">
        <v>288</v>
      </c>
      <c r="D27">
        <f>80/70</f>
        <v>1.1428571428571428</v>
      </c>
      <c r="E27" t="s">
        <v>30</v>
      </c>
      <c r="F27">
        <f>44.7/1000</f>
        <v>4.4700000000000004E-2</v>
      </c>
      <c r="G27" t="s">
        <v>31</v>
      </c>
      <c r="H27" t="s">
        <v>120</v>
      </c>
      <c r="I27">
        <v>21</v>
      </c>
      <c r="J27" t="s">
        <v>90</v>
      </c>
      <c r="K27" t="s">
        <v>326</v>
      </c>
    </row>
    <row r="28" spans="1:14" x14ac:dyDescent="0.25">
      <c r="A28" t="s">
        <v>299</v>
      </c>
      <c r="B28" t="s">
        <v>287</v>
      </c>
      <c r="C28" t="s">
        <v>288</v>
      </c>
      <c r="D28">
        <f>80/70</f>
        <v>1.1428571428571428</v>
      </c>
      <c r="E28" t="s">
        <v>30</v>
      </c>
      <c r="H28" t="s">
        <v>120</v>
      </c>
      <c r="J28" t="s">
        <v>90</v>
      </c>
      <c r="K28" t="s">
        <v>314</v>
      </c>
    </row>
    <row r="29" spans="1:14" x14ac:dyDescent="0.25">
      <c r="A29" t="s">
        <v>4</v>
      </c>
      <c r="B29" t="s">
        <v>28</v>
      </c>
      <c r="C29" t="s">
        <v>193</v>
      </c>
      <c r="D29">
        <f>50/71</f>
        <v>0.70422535211267601</v>
      </c>
      <c r="E29" t="s">
        <v>30</v>
      </c>
      <c r="F29">
        <f>(810.7+91.3)/2000</f>
        <v>0.45100000000000001</v>
      </c>
      <c r="G29" t="s">
        <v>31</v>
      </c>
      <c r="H29" t="s">
        <v>120</v>
      </c>
      <c r="I29">
        <v>40</v>
      </c>
      <c r="J29" t="s">
        <v>90</v>
      </c>
      <c r="K29" t="s">
        <v>167</v>
      </c>
      <c r="N29" t="s">
        <v>168</v>
      </c>
    </row>
    <row r="30" spans="1:14" x14ac:dyDescent="0.25">
      <c r="A30" t="s">
        <v>4</v>
      </c>
      <c r="B30" t="s">
        <v>28</v>
      </c>
      <c r="C30" t="s">
        <v>193</v>
      </c>
      <c r="D30">
        <f>50/78</f>
        <v>0.64102564102564108</v>
      </c>
      <c r="E30" t="s">
        <v>30</v>
      </c>
      <c r="F30">
        <f>(0.734+836)/2000</f>
        <v>0.41836700000000004</v>
      </c>
      <c r="G30" t="s">
        <v>31</v>
      </c>
      <c r="H30" t="s">
        <v>120</v>
      </c>
      <c r="I30">
        <v>15</v>
      </c>
      <c r="J30" t="s">
        <v>90</v>
      </c>
      <c r="K30" t="s">
        <v>169</v>
      </c>
      <c r="N30" t="s">
        <v>170</v>
      </c>
    </row>
    <row r="31" spans="1:14" x14ac:dyDescent="0.25">
      <c r="A31" t="s">
        <v>4</v>
      </c>
      <c r="B31" t="s">
        <v>28</v>
      </c>
      <c r="C31" t="s">
        <v>193</v>
      </c>
      <c r="D31">
        <f>50/70</f>
        <v>0.7142857142857143</v>
      </c>
      <c r="E31" t="s">
        <v>30</v>
      </c>
      <c r="H31" t="s">
        <v>120</v>
      </c>
      <c r="J31" t="s">
        <v>90</v>
      </c>
      <c r="K31" t="s">
        <v>314</v>
      </c>
    </row>
    <row r="32" spans="1:14" x14ac:dyDescent="0.25">
      <c r="A32" t="s">
        <v>5</v>
      </c>
      <c r="B32" t="s">
        <v>14</v>
      </c>
      <c r="C32" t="s">
        <v>55</v>
      </c>
      <c r="D32">
        <v>1.786</v>
      </c>
      <c r="E32" t="s">
        <v>30</v>
      </c>
      <c r="F32">
        <v>1.4</v>
      </c>
      <c r="G32" t="s">
        <v>31</v>
      </c>
      <c r="H32" t="s">
        <v>120</v>
      </c>
      <c r="J32" t="s">
        <v>90</v>
      </c>
      <c r="K32" t="s">
        <v>56</v>
      </c>
      <c r="L32" t="s">
        <v>56</v>
      </c>
      <c r="M32" t="s">
        <v>57</v>
      </c>
      <c r="N32" t="s">
        <v>58</v>
      </c>
    </row>
    <row r="33" spans="1:14" x14ac:dyDescent="0.25">
      <c r="A33" t="s">
        <v>5</v>
      </c>
      <c r="B33" t="s">
        <v>14</v>
      </c>
      <c r="C33" t="s">
        <v>55</v>
      </c>
      <c r="D33">
        <v>1.786</v>
      </c>
      <c r="E33" t="s">
        <v>30</v>
      </c>
      <c r="F33">
        <v>1.8</v>
      </c>
      <c r="G33" t="s">
        <v>31</v>
      </c>
      <c r="H33" t="s">
        <v>120</v>
      </c>
      <c r="J33" t="s">
        <v>90</v>
      </c>
      <c r="K33" t="s">
        <v>59</v>
      </c>
      <c r="L33" t="s">
        <v>59</v>
      </c>
      <c r="M33" t="s">
        <v>60</v>
      </c>
      <c r="N33" t="s">
        <v>61</v>
      </c>
    </row>
    <row r="34" spans="1:14" x14ac:dyDescent="0.25">
      <c r="A34" t="s">
        <v>5</v>
      </c>
      <c r="B34" t="s">
        <v>14</v>
      </c>
      <c r="C34" t="s">
        <v>55</v>
      </c>
      <c r="D34">
        <v>0.89300000000000002</v>
      </c>
      <c r="E34" t="s">
        <v>30</v>
      </c>
      <c r="F34">
        <v>0.61699999999999999</v>
      </c>
      <c r="G34" t="s">
        <v>31</v>
      </c>
      <c r="H34" t="s">
        <v>120</v>
      </c>
      <c r="J34" t="s">
        <v>90</v>
      </c>
      <c r="K34" t="s">
        <v>62</v>
      </c>
      <c r="L34" t="s">
        <v>62</v>
      </c>
      <c r="M34" t="s">
        <v>63</v>
      </c>
      <c r="N34" t="s">
        <v>64</v>
      </c>
    </row>
    <row r="35" spans="1:14" x14ac:dyDescent="0.25">
      <c r="A35" t="s">
        <v>5</v>
      </c>
      <c r="B35" t="s">
        <v>14</v>
      </c>
      <c r="C35" t="s">
        <v>55</v>
      </c>
      <c r="D35">
        <v>4.2999999999999997E-2</v>
      </c>
      <c r="E35" t="s">
        <v>30</v>
      </c>
      <c r="F35">
        <v>3.4000000000000002E-2</v>
      </c>
      <c r="G35" t="s">
        <v>31</v>
      </c>
      <c r="H35" t="s">
        <v>120</v>
      </c>
      <c r="J35" t="s">
        <v>90</v>
      </c>
      <c r="K35" t="s">
        <v>65</v>
      </c>
      <c r="L35" t="s">
        <v>65</v>
      </c>
      <c r="M35" s="1" t="s">
        <v>66</v>
      </c>
      <c r="N35" t="s">
        <v>67</v>
      </c>
    </row>
    <row r="36" spans="1:14" x14ac:dyDescent="0.25">
      <c r="A36" t="s">
        <v>5</v>
      </c>
      <c r="B36" t="s">
        <v>14</v>
      </c>
      <c r="C36" t="s">
        <v>55</v>
      </c>
      <c r="D36">
        <v>0.14299999999999999</v>
      </c>
      <c r="E36" t="s">
        <v>30</v>
      </c>
      <c r="F36">
        <v>0.12</v>
      </c>
      <c r="G36" t="s">
        <v>31</v>
      </c>
      <c r="H36" t="s">
        <v>120</v>
      </c>
      <c r="J36" t="s">
        <v>90</v>
      </c>
      <c r="K36" t="s">
        <v>65</v>
      </c>
      <c r="L36" t="s">
        <v>65</v>
      </c>
      <c r="M36" t="s">
        <v>66</v>
      </c>
      <c r="N36" t="s">
        <v>67</v>
      </c>
    </row>
    <row r="37" spans="1:14" x14ac:dyDescent="0.25">
      <c r="A37" t="s">
        <v>5</v>
      </c>
      <c r="B37" t="s">
        <v>14</v>
      </c>
      <c r="C37" t="s">
        <v>55</v>
      </c>
      <c r="D37">
        <v>0.42899999999999999</v>
      </c>
      <c r="E37" t="s">
        <v>30</v>
      </c>
      <c r="F37">
        <v>0.46</v>
      </c>
      <c r="G37" t="s">
        <v>31</v>
      </c>
      <c r="H37" t="s">
        <v>120</v>
      </c>
      <c r="J37" t="s">
        <v>90</v>
      </c>
      <c r="K37" t="s">
        <v>65</v>
      </c>
      <c r="L37" t="s">
        <v>65</v>
      </c>
      <c r="M37" t="s">
        <v>66</v>
      </c>
      <c r="N37" t="s">
        <v>67</v>
      </c>
    </row>
    <row r="38" spans="1:14" x14ac:dyDescent="0.25">
      <c r="A38" t="s">
        <v>5</v>
      </c>
      <c r="B38" t="s">
        <v>14</v>
      </c>
      <c r="C38" t="s">
        <v>55</v>
      </c>
      <c r="D38">
        <v>1.429</v>
      </c>
      <c r="E38" t="s">
        <v>30</v>
      </c>
      <c r="F38">
        <v>1.56</v>
      </c>
      <c r="G38" t="s">
        <v>31</v>
      </c>
      <c r="H38" t="s">
        <v>120</v>
      </c>
      <c r="J38" t="s">
        <v>90</v>
      </c>
      <c r="K38" t="s">
        <v>65</v>
      </c>
      <c r="L38" t="s">
        <v>65</v>
      </c>
      <c r="M38" t="s">
        <v>66</v>
      </c>
      <c r="N38" t="s">
        <v>67</v>
      </c>
    </row>
    <row r="39" spans="1:14" x14ac:dyDescent="0.25">
      <c r="A39" t="s">
        <v>5</v>
      </c>
      <c r="B39" t="s">
        <v>14</v>
      </c>
      <c r="C39" t="s">
        <v>55</v>
      </c>
      <c r="D39">
        <v>4.2859999999999996</v>
      </c>
      <c r="E39" t="s">
        <v>30</v>
      </c>
      <c r="F39">
        <v>4.62</v>
      </c>
      <c r="G39" t="s">
        <v>31</v>
      </c>
      <c r="H39" t="s">
        <v>120</v>
      </c>
      <c r="J39" t="s">
        <v>90</v>
      </c>
      <c r="K39" t="s">
        <v>65</v>
      </c>
      <c r="L39" t="s">
        <v>65</v>
      </c>
      <c r="M39" t="s">
        <v>66</v>
      </c>
      <c r="N39" t="s">
        <v>67</v>
      </c>
    </row>
    <row r="40" spans="1:14" x14ac:dyDescent="0.25">
      <c r="A40" t="s">
        <v>5</v>
      </c>
      <c r="B40" t="s">
        <v>14</v>
      </c>
      <c r="C40" t="s">
        <v>55</v>
      </c>
      <c r="D40">
        <v>8.5709999999999997</v>
      </c>
      <c r="E40" t="s">
        <v>30</v>
      </c>
      <c r="F40">
        <v>9.49</v>
      </c>
      <c r="G40" t="s">
        <v>31</v>
      </c>
      <c r="H40" t="s">
        <v>120</v>
      </c>
      <c r="J40" t="s">
        <v>90</v>
      </c>
      <c r="K40" t="s">
        <v>65</v>
      </c>
      <c r="L40" t="s">
        <v>65</v>
      </c>
      <c r="M40" t="s">
        <v>66</v>
      </c>
      <c r="N40" t="s">
        <v>67</v>
      </c>
    </row>
    <row r="41" spans="1:14" x14ac:dyDescent="0.25">
      <c r="A41" t="s">
        <v>5</v>
      </c>
      <c r="B41" t="s">
        <v>14</v>
      </c>
      <c r="C41" t="s">
        <v>55</v>
      </c>
      <c r="D41">
        <v>1.429</v>
      </c>
      <c r="E41" t="s">
        <v>30</v>
      </c>
      <c r="F41">
        <v>1.105</v>
      </c>
      <c r="G41" t="s">
        <v>31</v>
      </c>
      <c r="H41" t="s">
        <v>120</v>
      </c>
      <c r="J41" t="s">
        <v>90</v>
      </c>
      <c r="K41" t="s">
        <v>68</v>
      </c>
      <c r="L41" t="s">
        <v>68</v>
      </c>
      <c r="M41" t="s">
        <v>69</v>
      </c>
      <c r="N41" t="s">
        <v>70</v>
      </c>
    </row>
    <row r="42" spans="1:14" x14ac:dyDescent="0.25">
      <c r="A42" t="s">
        <v>5</v>
      </c>
      <c r="B42" t="s">
        <v>14</v>
      </c>
      <c r="C42" t="s">
        <v>55</v>
      </c>
      <c r="D42">
        <v>2.8570000000000002</v>
      </c>
      <c r="E42" t="s">
        <v>30</v>
      </c>
      <c r="F42">
        <v>3.2290000000000001</v>
      </c>
      <c r="G42" t="s">
        <v>31</v>
      </c>
      <c r="H42" t="s">
        <v>120</v>
      </c>
      <c r="J42" t="s">
        <v>90</v>
      </c>
      <c r="K42" t="s">
        <v>68</v>
      </c>
      <c r="L42" t="s">
        <v>68</v>
      </c>
      <c r="M42" t="s">
        <v>69</v>
      </c>
      <c r="N42" t="s">
        <v>70</v>
      </c>
    </row>
    <row r="43" spans="1:14" x14ac:dyDescent="0.25">
      <c r="A43" t="s">
        <v>5</v>
      </c>
      <c r="B43" t="s">
        <v>14</v>
      </c>
      <c r="C43" t="s">
        <v>55</v>
      </c>
      <c r="D43">
        <v>7.1429999999999998</v>
      </c>
      <c r="E43" t="s">
        <v>30</v>
      </c>
      <c r="F43">
        <v>6.4530000000000003</v>
      </c>
      <c r="G43" t="s">
        <v>31</v>
      </c>
      <c r="H43" t="s">
        <v>120</v>
      </c>
      <c r="J43" t="s">
        <v>90</v>
      </c>
      <c r="K43" t="s">
        <v>68</v>
      </c>
      <c r="L43" t="s">
        <v>68</v>
      </c>
      <c r="M43" t="s">
        <v>69</v>
      </c>
      <c r="N43" t="s">
        <v>70</v>
      </c>
    </row>
    <row r="44" spans="1:14" x14ac:dyDescent="0.25">
      <c r="A44" t="s">
        <v>5</v>
      </c>
      <c r="B44" t="s">
        <v>14</v>
      </c>
      <c r="C44" t="s">
        <v>55</v>
      </c>
      <c r="D44">
        <v>1.786</v>
      </c>
      <c r="E44" t="s">
        <v>30</v>
      </c>
      <c r="F44">
        <v>2.5339999999999998</v>
      </c>
      <c r="G44" t="s">
        <v>31</v>
      </c>
      <c r="H44" t="s">
        <v>120</v>
      </c>
      <c r="J44" t="s">
        <v>90</v>
      </c>
      <c r="K44" t="s">
        <v>71</v>
      </c>
      <c r="L44" t="s">
        <v>71</v>
      </c>
      <c r="M44" t="s">
        <v>72</v>
      </c>
      <c r="N44" t="s">
        <v>73</v>
      </c>
    </row>
    <row r="45" spans="1:14" x14ac:dyDescent="0.25">
      <c r="A45" t="s">
        <v>5</v>
      </c>
      <c r="B45" t="s">
        <v>14</v>
      </c>
      <c r="C45" t="s">
        <v>55</v>
      </c>
      <c r="D45">
        <f>250/70</f>
        <v>3.5714285714285716</v>
      </c>
      <c r="E45" t="s">
        <v>30</v>
      </c>
      <c r="H45" t="s">
        <v>120</v>
      </c>
      <c r="J45" t="s">
        <v>90</v>
      </c>
      <c r="K45" t="s">
        <v>314</v>
      </c>
    </row>
    <row r="46" spans="1:14" x14ac:dyDescent="0.25">
      <c r="A46" t="s">
        <v>0</v>
      </c>
      <c r="B46" t="s">
        <v>22</v>
      </c>
      <c r="C46" t="s">
        <v>194</v>
      </c>
      <c r="D46">
        <v>0.71399999999999997</v>
      </c>
      <c r="E46" t="s">
        <v>30</v>
      </c>
      <c r="F46">
        <v>8.9999999999999993E-3</v>
      </c>
      <c r="G46" t="s">
        <v>31</v>
      </c>
      <c r="H46" s="2" t="s">
        <v>120</v>
      </c>
      <c r="J46" t="s">
        <v>90</v>
      </c>
      <c r="K46" t="s">
        <v>32</v>
      </c>
      <c r="L46" t="s">
        <v>32</v>
      </c>
      <c r="M46" s="1" t="s">
        <v>33</v>
      </c>
      <c r="N46" t="s">
        <v>34</v>
      </c>
    </row>
    <row r="47" spans="1:14" x14ac:dyDescent="0.25">
      <c r="A47" t="s">
        <v>0</v>
      </c>
      <c r="B47" t="s">
        <v>22</v>
      </c>
      <c r="C47" t="s">
        <v>194</v>
      </c>
      <c r="D47">
        <v>0.35699999999999998</v>
      </c>
      <c r="E47" t="s">
        <v>30</v>
      </c>
      <c r="F47">
        <v>4.3099999999999996E-3</v>
      </c>
      <c r="G47" t="s">
        <v>31</v>
      </c>
      <c r="H47" t="s">
        <v>120</v>
      </c>
      <c r="J47" t="s">
        <v>90</v>
      </c>
      <c r="K47" t="s">
        <v>35</v>
      </c>
      <c r="L47" t="s">
        <v>35</v>
      </c>
      <c r="M47" t="s">
        <v>36</v>
      </c>
      <c r="N47" t="s">
        <v>37</v>
      </c>
    </row>
    <row r="48" spans="1:14" x14ac:dyDescent="0.25">
      <c r="A48" t="s">
        <v>0</v>
      </c>
      <c r="B48" t="s">
        <v>22</v>
      </c>
      <c r="C48" t="s">
        <v>194</v>
      </c>
      <c r="D48">
        <v>0.71399999999999997</v>
      </c>
      <c r="E48" t="s">
        <v>30</v>
      </c>
      <c r="F48">
        <v>1.1900000000000001E-2</v>
      </c>
      <c r="G48" t="s">
        <v>31</v>
      </c>
      <c r="H48" t="s">
        <v>120</v>
      </c>
      <c r="J48" t="s">
        <v>90</v>
      </c>
      <c r="K48" t="s">
        <v>35</v>
      </c>
      <c r="L48" t="s">
        <v>35</v>
      </c>
      <c r="M48" t="s">
        <v>36</v>
      </c>
      <c r="N48" t="s">
        <v>37</v>
      </c>
    </row>
    <row r="49" spans="1:14" x14ac:dyDescent="0.25">
      <c r="A49" t="s">
        <v>0</v>
      </c>
      <c r="B49" t="s">
        <v>22</v>
      </c>
      <c r="C49" t="s">
        <v>194</v>
      </c>
      <c r="D49">
        <v>1.429</v>
      </c>
      <c r="E49" t="s">
        <v>30</v>
      </c>
      <c r="F49">
        <v>3.7900000000000003E-2</v>
      </c>
      <c r="G49" t="s">
        <v>31</v>
      </c>
      <c r="H49" t="s">
        <v>120</v>
      </c>
      <c r="J49" t="s">
        <v>90</v>
      </c>
      <c r="K49" t="s">
        <v>35</v>
      </c>
      <c r="L49" t="s">
        <v>35</v>
      </c>
      <c r="M49" t="s">
        <v>36</v>
      </c>
      <c r="N49" t="s">
        <v>37</v>
      </c>
    </row>
    <row r="50" spans="1:14" x14ac:dyDescent="0.25">
      <c r="A50" t="s">
        <v>0</v>
      </c>
      <c r="B50" t="s">
        <v>22</v>
      </c>
      <c r="C50" t="s">
        <v>194</v>
      </c>
      <c r="D50">
        <v>1.429</v>
      </c>
      <c r="E50" t="s">
        <v>30</v>
      </c>
      <c r="F50">
        <v>4.9750000000000003E-2</v>
      </c>
      <c r="G50" t="s">
        <v>31</v>
      </c>
      <c r="H50" t="s">
        <v>120</v>
      </c>
      <c r="J50" t="s">
        <v>90</v>
      </c>
      <c r="K50" t="s">
        <v>38</v>
      </c>
      <c r="L50" t="s">
        <v>38</v>
      </c>
      <c r="M50" t="s">
        <v>39</v>
      </c>
      <c r="N50" t="s">
        <v>40</v>
      </c>
    </row>
    <row r="51" spans="1:14" x14ac:dyDescent="0.25">
      <c r="A51" t="s">
        <v>0</v>
      </c>
      <c r="B51" t="s">
        <v>22</v>
      </c>
      <c r="C51" t="s">
        <v>194</v>
      </c>
      <c r="D51">
        <v>0.71399999999999997</v>
      </c>
      <c r="E51" t="s">
        <v>30</v>
      </c>
      <c r="F51">
        <v>8.8800000000000007E-3</v>
      </c>
      <c r="G51" t="s">
        <v>31</v>
      </c>
      <c r="H51" t="s">
        <v>120</v>
      </c>
      <c r="J51" t="s">
        <v>90</v>
      </c>
      <c r="K51" t="s">
        <v>41</v>
      </c>
      <c r="L51" t="s">
        <v>41</v>
      </c>
      <c r="M51" t="s">
        <v>42</v>
      </c>
      <c r="N51" t="s">
        <v>37</v>
      </c>
    </row>
    <row r="52" spans="1:14" x14ac:dyDescent="0.25">
      <c r="A52" t="s">
        <v>0</v>
      </c>
      <c r="B52" t="s">
        <v>22</v>
      </c>
      <c r="C52" t="s">
        <v>194</v>
      </c>
      <c r="D52">
        <v>0.7</v>
      </c>
      <c r="E52" t="s">
        <v>30</v>
      </c>
      <c r="F52">
        <v>1.5100000000000001E-2</v>
      </c>
      <c r="G52" t="s">
        <v>31</v>
      </c>
      <c r="H52" t="s">
        <v>120</v>
      </c>
      <c r="J52" t="s">
        <v>90</v>
      </c>
      <c r="K52" t="s">
        <v>43</v>
      </c>
      <c r="L52" t="s">
        <v>43</v>
      </c>
      <c r="M52" t="s">
        <v>44</v>
      </c>
      <c r="N52" t="s">
        <v>37</v>
      </c>
    </row>
    <row r="53" spans="1:14" x14ac:dyDescent="0.25">
      <c r="A53" t="s">
        <v>0</v>
      </c>
      <c r="B53" t="s">
        <v>22</v>
      </c>
      <c r="C53" t="s">
        <v>194</v>
      </c>
      <c r="D53">
        <v>1.071</v>
      </c>
      <c r="E53" t="s">
        <v>30</v>
      </c>
      <c r="F53">
        <v>7.1000000000000004E-3</v>
      </c>
      <c r="G53" t="s">
        <v>31</v>
      </c>
      <c r="H53" t="s">
        <v>120</v>
      </c>
      <c r="J53" t="s">
        <v>90</v>
      </c>
      <c r="K53" t="s">
        <v>45</v>
      </c>
      <c r="L53" t="s">
        <v>45</v>
      </c>
      <c r="M53" t="s">
        <v>46</v>
      </c>
      <c r="N53" t="s">
        <v>47</v>
      </c>
    </row>
    <row r="54" spans="1:14" x14ac:dyDescent="0.25">
      <c r="A54" t="s">
        <v>0</v>
      </c>
      <c r="B54" t="s">
        <v>22</v>
      </c>
      <c r="C54" t="s">
        <v>194</v>
      </c>
      <c r="D54">
        <f>2000/70</f>
        <v>28.571428571428573</v>
      </c>
      <c r="E54" t="s">
        <v>30</v>
      </c>
      <c r="H54" t="s">
        <v>120</v>
      </c>
      <c r="J54" t="s">
        <v>90</v>
      </c>
      <c r="K54" t="s">
        <v>314</v>
      </c>
    </row>
    <row r="55" spans="1:14" x14ac:dyDescent="0.25">
      <c r="A55" t="s">
        <v>192</v>
      </c>
      <c r="B55" t="s">
        <v>23</v>
      </c>
      <c r="C55" t="s">
        <v>82</v>
      </c>
      <c r="D55">
        <f>50/70</f>
        <v>0.7142857142857143</v>
      </c>
      <c r="E55" t="s">
        <v>30</v>
      </c>
      <c r="F55">
        <v>0.23200000000000001</v>
      </c>
      <c r="G55" t="s">
        <v>31</v>
      </c>
      <c r="H55" t="s">
        <v>120</v>
      </c>
      <c r="I55">
        <v>8</v>
      </c>
      <c r="J55" t="s">
        <v>90</v>
      </c>
      <c r="K55" t="s">
        <v>87</v>
      </c>
      <c r="N55" t="s">
        <v>214</v>
      </c>
    </row>
    <row r="56" spans="1:14" x14ac:dyDescent="0.25">
      <c r="A56" t="s">
        <v>192</v>
      </c>
      <c r="B56" t="s">
        <v>23</v>
      </c>
      <c r="C56" t="s">
        <v>82</v>
      </c>
      <c r="D56">
        <v>10</v>
      </c>
      <c r="E56" t="s">
        <v>30</v>
      </c>
      <c r="F56">
        <v>1.552</v>
      </c>
      <c r="G56" t="s">
        <v>31</v>
      </c>
      <c r="H56" t="s">
        <v>120</v>
      </c>
      <c r="I56">
        <v>8</v>
      </c>
      <c r="J56" t="s">
        <v>89</v>
      </c>
      <c r="K56" t="s">
        <v>206</v>
      </c>
      <c r="N56" t="s">
        <v>213</v>
      </c>
    </row>
    <row r="57" spans="1:14" x14ac:dyDescent="0.25">
      <c r="A57" t="s">
        <v>192</v>
      </c>
      <c r="B57" t="s">
        <v>23</v>
      </c>
      <c r="C57" t="s">
        <v>82</v>
      </c>
      <c r="D57">
        <v>7.5</v>
      </c>
      <c r="E57" t="s">
        <v>30</v>
      </c>
      <c r="F57">
        <v>1.5680000000000001</v>
      </c>
      <c r="G57" t="s">
        <v>31</v>
      </c>
      <c r="H57" t="s">
        <v>120</v>
      </c>
      <c r="I57">
        <v>23</v>
      </c>
      <c r="J57" t="s">
        <v>89</v>
      </c>
      <c r="K57" t="s">
        <v>208</v>
      </c>
      <c r="N57" t="s">
        <v>207</v>
      </c>
    </row>
    <row r="58" spans="1:14" x14ac:dyDescent="0.25">
      <c r="A58" t="s">
        <v>192</v>
      </c>
      <c r="B58" t="s">
        <v>23</v>
      </c>
      <c r="C58" t="s">
        <v>82</v>
      </c>
      <c r="D58">
        <f>400/70</f>
        <v>5.7142857142857144</v>
      </c>
      <c r="E58" t="s">
        <v>30</v>
      </c>
      <c r="F58">
        <v>1.03</v>
      </c>
      <c r="G58" t="s">
        <v>31</v>
      </c>
      <c r="H58" t="s">
        <v>120</v>
      </c>
      <c r="I58">
        <v>16</v>
      </c>
      <c r="J58" t="s">
        <v>90</v>
      </c>
      <c r="K58" t="s">
        <v>209</v>
      </c>
      <c r="N58" t="s">
        <v>210</v>
      </c>
    </row>
    <row r="59" spans="1:14" x14ac:dyDescent="0.25">
      <c r="A59" t="s">
        <v>192</v>
      </c>
      <c r="B59" t="s">
        <v>23</v>
      </c>
      <c r="C59" t="s">
        <v>82</v>
      </c>
      <c r="D59">
        <f>300/74.3</f>
        <v>4.0376850605652761</v>
      </c>
      <c r="E59" t="s">
        <v>30</v>
      </c>
      <c r="F59">
        <v>0.97699999999999998</v>
      </c>
      <c r="G59" t="s">
        <v>31</v>
      </c>
      <c r="H59" t="s">
        <v>120</v>
      </c>
      <c r="I59">
        <v>24</v>
      </c>
      <c r="J59" t="s">
        <v>89</v>
      </c>
      <c r="K59" t="s">
        <v>211</v>
      </c>
      <c r="N59" t="s">
        <v>212</v>
      </c>
    </row>
    <row r="60" spans="1:14" x14ac:dyDescent="0.25">
      <c r="A60" t="s">
        <v>192</v>
      </c>
      <c r="B60" t="s">
        <v>23</v>
      </c>
      <c r="C60" t="s">
        <v>82</v>
      </c>
      <c r="D60">
        <v>15</v>
      </c>
      <c r="E60" t="s">
        <v>30</v>
      </c>
      <c r="H60" t="s">
        <v>120</v>
      </c>
      <c r="J60" t="s">
        <v>90</v>
      </c>
      <c r="K60" t="s">
        <v>314</v>
      </c>
    </row>
    <row r="61" spans="1:14" x14ac:dyDescent="0.25">
      <c r="A61" t="s">
        <v>6</v>
      </c>
      <c r="B61" t="s">
        <v>16</v>
      </c>
      <c r="C61" t="s">
        <v>75</v>
      </c>
      <c r="D61">
        <v>20</v>
      </c>
      <c r="E61" t="s">
        <v>30</v>
      </c>
      <c r="F61">
        <v>32.97</v>
      </c>
      <c r="G61" t="s">
        <v>31</v>
      </c>
      <c r="H61" t="s">
        <v>120</v>
      </c>
      <c r="I61">
        <v>3</v>
      </c>
      <c r="J61" t="s">
        <v>90</v>
      </c>
      <c r="K61" t="s">
        <v>280</v>
      </c>
      <c r="N61" t="s">
        <v>279</v>
      </c>
    </row>
    <row r="62" spans="1:14" x14ac:dyDescent="0.25">
      <c r="A62" t="s">
        <v>6</v>
      </c>
      <c r="B62" t="s">
        <v>16</v>
      </c>
      <c r="C62" t="s">
        <v>75</v>
      </c>
      <c r="D62">
        <v>35</v>
      </c>
      <c r="E62" t="s">
        <v>30</v>
      </c>
      <c r="F62">
        <f>170*373.62/1000</f>
        <v>63.5154</v>
      </c>
      <c r="G62" t="s">
        <v>31</v>
      </c>
      <c r="H62" t="s">
        <v>120</v>
      </c>
      <c r="I62">
        <v>24</v>
      </c>
      <c r="J62" t="s">
        <v>90</v>
      </c>
      <c r="K62" t="s">
        <v>281</v>
      </c>
      <c r="N62" t="s">
        <v>282</v>
      </c>
    </row>
    <row r="63" spans="1:14" x14ac:dyDescent="0.25">
      <c r="A63" t="s">
        <v>6</v>
      </c>
      <c r="B63" t="s">
        <v>16</v>
      </c>
      <c r="C63" t="s">
        <v>75</v>
      </c>
      <c r="D63">
        <f>500/58.9</f>
        <v>8.4889643463497464</v>
      </c>
      <c r="E63" t="s">
        <v>30</v>
      </c>
      <c r="F63">
        <v>16.14</v>
      </c>
      <c r="G63" t="s">
        <v>31</v>
      </c>
      <c r="H63" t="s">
        <v>120</v>
      </c>
      <c r="I63">
        <v>28</v>
      </c>
      <c r="J63" t="s">
        <v>90</v>
      </c>
      <c r="K63" t="s">
        <v>283</v>
      </c>
      <c r="N63" t="s">
        <v>284</v>
      </c>
    </row>
    <row r="64" spans="1:14" x14ac:dyDescent="0.25">
      <c r="A64" t="s">
        <v>6</v>
      </c>
      <c r="B64" t="s">
        <v>16</v>
      </c>
      <c r="C64" t="s">
        <v>75</v>
      </c>
      <c r="D64">
        <v>30</v>
      </c>
      <c r="E64" t="s">
        <v>30</v>
      </c>
      <c r="F64">
        <f>108*373.62/1000</f>
        <v>40.350960000000001</v>
      </c>
      <c r="G64" t="s">
        <v>31</v>
      </c>
      <c r="H64" t="s">
        <v>120</v>
      </c>
      <c r="I64">
        <v>20</v>
      </c>
      <c r="J64" t="s">
        <v>90</v>
      </c>
      <c r="K64" t="s">
        <v>285</v>
      </c>
      <c r="N64" t="s">
        <v>284</v>
      </c>
    </row>
    <row r="65" spans="1:15" x14ac:dyDescent="0.25">
      <c r="A65" t="s">
        <v>6</v>
      </c>
      <c r="B65" t="s">
        <v>16</v>
      </c>
      <c r="C65" t="s">
        <v>75</v>
      </c>
      <c r="D65">
        <v>20</v>
      </c>
      <c r="E65" t="s">
        <v>30</v>
      </c>
      <c r="F65">
        <f>71*373.36/1000</f>
        <v>26.508560000000003</v>
      </c>
      <c r="G65" t="s">
        <v>31</v>
      </c>
      <c r="H65" t="s">
        <v>120</v>
      </c>
      <c r="I65">
        <v>28</v>
      </c>
      <c r="J65" t="s">
        <v>90</v>
      </c>
      <c r="K65" t="s">
        <v>311</v>
      </c>
      <c r="N65" t="s">
        <v>310</v>
      </c>
    </row>
    <row r="66" spans="1:15" x14ac:dyDescent="0.25">
      <c r="A66" t="s">
        <v>6</v>
      </c>
      <c r="B66" t="s">
        <v>16</v>
      </c>
      <c r="C66" t="s">
        <v>75</v>
      </c>
      <c r="D66">
        <v>20</v>
      </c>
      <c r="E66" t="s">
        <v>30</v>
      </c>
      <c r="F66">
        <f>137.9*373.36/1000</f>
        <v>51.486344000000003</v>
      </c>
      <c r="G66" t="s">
        <v>31</v>
      </c>
      <c r="H66" t="s">
        <v>120</v>
      </c>
      <c r="I66">
        <v>46</v>
      </c>
      <c r="J66" t="s">
        <v>90</v>
      </c>
      <c r="K66" t="s">
        <v>313</v>
      </c>
      <c r="N66" t="s">
        <v>312</v>
      </c>
    </row>
    <row r="67" spans="1:15" x14ac:dyDescent="0.25">
      <c r="A67" t="s">
        <v>6</v>
      </c>
      <c r="B67" t="s">
        <v>16</v>
      </c>
      <c r="C67" t="s">
        <v>75</v>
      </c>
      <c r="D67">
        <v>20</v>
      </c>
      <c r="E67" t="s">
        <v>30</v>
      </c>
      <c r="H67" t="s">
        <v>120</v>
      </c>
      <c r="K67" t="s">
        <v>314</v>
      </c>
    </row>
    <row r="68" spans="1:15" s="2" customFormat="1" ht="17.25" customHeight="1" x14ac:dyDescent="0.25">
      <c r="A68" s="2" t="s">
        <v>7</v>
      </c>
      <c r="B68" s="2" t="s">
        <v>15</v>
      </c>
      <c r="C68" s="2" t="s">
        <v>76</v>
      </c>
      <c r="D68" s="2">
        <f>40/70</f>
        <v>0.5714285714285714</v>
      </c>
      <c r="E68" s="2" t="s">
        <v>30</v>
      </c>
      <c r="F68" s="3">
        <v>3.2730000000000002E-2</v>
      </c>
      <c r="G68" s="2" t="s">
        <v>31</v>
      </c>
      <c r="H68" s="2" t="s">
        <v>120</v>
      </c>
      <c r="I68" s="2">
        <v>18</v>
      </c>
      <c r="J68" s="2" t="s">
        <v>90</v>
      </c>
      <c r="K68" s="2" t="s">
        <v>175</v>
      </c>
      <c r="N68" t="s">
        <v>130</v>
      </c>
      <c r="O68" t="s">
        <v>197</v>
      </c>
    </row>
    <row r="69" spans="1:15" s="2" customFormat="1" ht="17.25" customHeight="1" x14ac:dyDescent="0.25">
      <c r="A69" s="2" t="s">
        <v>7</v>
      </c>
      <c r="B69" s="2" t="s">
        <v>15</v>
      </c>
      <c r="C69" s="2" t="s">
        <v>76</v>
      </c>
      <c r="D69" s="2">
        <f>20/((59+99)/2)</f>
        <v>0.25316455696202533</v>
      </c>
      <c r="E69" s="2" t="s">
        <v>30</v>
      </c>
      <c r="F69" s="2">
        <f>(4.19+2.72)/1000</f>
        <v>6.9100000000000003E-3</v>
      </c>
      <c r="G69" s="2" t="s">
        <v>31</v>
      </c>
      <c r="H69" s="2" t="s">
        <v>120</v>
      </c>
      <c r="I69" s="2">
        <v>12</v>
      </c>
      <c r="J69" s="2" t="s">
        <v>90</v>
      </c>
      <c r="K69" s="2" t="s">
        <v>174</v>
      </c>
      <c r="N69" s="2" t="s">
        <v>173</v>
      </c>
      <c r="O69" s="2" t="s">
        <v>197</v>
      </c>
    </row>
    <row r="70" spans="1:15" s="2" customFormat="1" ht="17.25" customHeight="1" x14ac:dyDescent="0.25">
      <c r="A70" s="2" t="s">
        <v>7</v>
      </c>
      <c r="B70" s="2" t="s">
        <v>15</v>
      </c>
      <c r="C70" s="2" t="s">
        <v>76</v>
      </c>
      <c r="D70" s="2">
        <f>20/75.4</f>
        <v>0.2652519893899204</v>
      </c>
      <c r="E70" s="2" t="s">
        <v>30</v>
      </c>
      <c r="F70" s="2">
        <v>4.7550000000000002E-2</v>
      </c>
      <c r="G70" s="2" t="s">
        <v>31</v>
      </c>
      <c r="H70" s="2" t="s">
        <v>120</v>
      </c>
      <c r="I70" s="2">
        <v>18</v>
      </c>
      <c r="J70" s="2" t="s">
        <v>90</v>
      </c>
      <c r="K70" s="2" t="s">
        <v>177</v>
      </c>
      <c r="N70" s="2" t="s">
        <v>176</v>
      </c>
      <c r="O70" s="2" t="s">
        <v>197</v>
      </c>
    </row>
    <row r="71" spans="1:15" s="2" customFormat="1" ht="17.25" customHeight="1" x14ac:dyDescent="0.25">
      <c r="A71" s="2" t="s">
        <v>7</v>
      </c>
      <c r="B71" s="2" t="s">
        <v>15</v>
      </c>
      <c r="C71" s="2" t="s">
        <v>76</v>
      </c>
      <c r="D71" s="2">
        <f>20/74.6</f>
        <v>0.26809651474530832</v>
      </c>
      <c r="E71" s="2" t="s">
        <v>30</v>
      </c>
      <c r="F71" s="2">
        <v>3.1199999999999999E-2</v>
      </c>
      <c r="G71" s="2" t="s">
        <v>31</v>
      </c>
      <c r="H71" s="2" t="s">
        <v>120</v>
      </c>
      <c r="I71" s="2">
        <v>24</v>
      </c>
      <c r="J71" s="2" t="s">
        <v>100</v>
      </c>
      <c r="K71" s="2" t="s">
        <v>93</v>
      </c>
      <c r="N71" s="2" t="s">
        <v>101</v>
      </c>
      <c r="O71" s="2" t="s">
        <v>197</v>
      </c>
    </row>
    <row r="72" spans="1:15" s="2" customFormat="1" ht="15" customHeight="1" x14ac:dyDescent="0.25">
      <c r="A72" s="2" t="s">
        <v>7</v>
      </c>
      <c r="B72" s="2" t="s">
        <v>15</v>
      </c>
      <c r="C72" s="2" t="s">
        <v>76</v>
      </c>
      <c r="D72" s="2">
        <f>40/74.9</f>
        <v>0.53404539385847793</v>
      </c>
      <c r="E72" s="2" t="s">
        <v>30</v>
      </c>
      <c r="F72" s="2">
        <f>49/1000</f>
        <v>4.9000000000000002E-2</v>
      </c>
      <c r="G72" s="2" t="s">
        <v>31</v>
      </c>
      <c r="H72" s="2" t="s">
        <v>120</v>
      </c>
      <c r="I72" s="2">
        <v>24</v>
      </c>
      <c r="J72" s="2" t="s">
        <v>90</v>
      </c>
      <c r="K72" s="2" t="s">
        <v>178</v>
      </c>
      <c r="O72" s="2" t="s">
        <v>197</v>
      </c>
    </row>
    <row r="73" spans="1:15" x14ac:dyDescent="0.25">
      <c r="A73" s="2" t="s">
        <v>7</v>
      </c>
      <c r="B73" s="2" t="s">
        <v>15</v>
      </c>
      <c r="C73" s="2" t="s">
        <v>76</v>
      </c>
      <c r="D73" s="2">
        <f>20/62.9</f>
        <v>0.31796502384737679</v>
      </c>
      <c r="E73" s="2" t="s">
        <v>30</v>
      </c>
      <c r="F73" s="2">
        <f>13.2/1000</f>
        <v>1.32E-2</v>
      </c>
      <c r="G73" s="2" t="s">
        <v>31</v>
      </c>
      <c r="H73" s="2" t="s">
        <v>120</v>
      </c>
      <c r="I73" s="2">
        <v>22</v>
      </c>
      <c r="J73" s="2" t="s">
        <v>90</v>
      </c>
      <c r="K73" s="2" t="s">
        <v>180</v>
      </c>
      <c r="L73" s="2"/>
      <c r="M73" s="2"/>
      <c r="N73" s="2" t="s">
        <v>179</v>
      </c>
      <c r="O73" s="2" t="s">
        <v>197</v>
      </c>
    </row>
    <row r="74" spans="1:15" ht="14.25" customHeight="1" x14ac:dyDescent="0.25">
      <c r="A74" s="2" t="s">
        <v>7</v>
      </c>
      <c r="B74" s="2" t="s">
        <v>15</v>
      </c>
      <c r="C74" s="2" t="s">
        <v>76</v>
      </c>
      <c r="D74" s="2">
        <f>20/74.33</f>
        <v>0.26907036189963673</v>
      </c>
      <c r="E74" s="2" t="s">
        <v>30</v>
      </c>
      <c r="F74" s="2">
        <f>21.68/1000</f>
        <v>2.1680000000000001E-2</v>
      </c>
      <c r="G74" s="2" t="s">
        <v>31</v>
      </c>
      <c r="H74" s="2" t="s">
        <v>120</v>
      </c>
      <c r="I74" s="2">
        <v>24</v>
      </c>
      <c r="J74" s="2" t="s">
        <v>90</v>
      </c>
      <c r="K74" s="2" t="s">
        <v>181</v>
      </c>
      <c r="L74" s="2"/>
      <c r="M74" s="2"/>
      <c r="N74" s="2" t="s">
        <v>182</v>
      </c>
      <c r="O74" s="2" t="s">
        <v>197</v>
      </c>
    </row>
    <row r="75" spans="1:15" x14ac:dyDescent="0.25">
      <c r="A75" s="2" t="s">
        <v>7</v>
      </c>
      <c r="B75" s="2" t="s">
        <v>15</v>
      </c>
      <c r="C75" s="2" t="s">
        <v>76</v>
      </c>
      <c r="D75" s="2">
        <f>20/63</f>
        <v>0.31746031746031744</v>
      </c>
      <c r="E75" s="2" t="s">
        <v>30</v>
      </c>
      <c r="F75" s="2">
        <f>11.786/1000</f>
        <v>1.1786E-2</v>
      </c>
      <c r="G75" s="2" t="s">
        <v>31</v>
      </c>
      <c r="H75" s="2" t="s">
        <v>120</v>
      </c>
      <c r="I75" s="2">
        <v>23</v>
      </c>
      <c r="J75" s="2" t="s">
        <v>90</v>
      </c>
      <c r="K75" s="2" t="s">
        <v>184</v>
      </c>
      <c r="L75" s="2"/>
      <c r="M75" s="2"/>
      <c r="N75" s="2" t="s">
        <v>183</v>
      </c>
      <c r="O75" t="s">
        <v>197</v>
      </c>
    </row>
    <row r="76" spans="1:15" s="2" customFormat="1" ht="14.25" customHeight="1" x14ac:dyDescent="0.25">
      <c r="A76" s="2" t="s">
        <v>7</v>
      </c>
      <c r="B76" s="2" t="s">
        <v>15</v>
      </c>
      <c r="C76" s="2" t="s">
        <v>76</v>
      </c>
      <c r="D76" s="2">
        <f>40/63</f>
        <v>0.63492063492063489</v>
      </c>
      <c r="E76" t="s">
        <v>30</v>
      </c>
      <c r="H76" s="2" t="s">
        <v>120</v>
      </c>
      <c r="J76" s="2" t="s">
        <v>90</v>
      </c>
      <c r="K76" s="2" t="s">
        <v>314</v>
      </c>
    </row>
    <row r="77" spans="1:15" s="2" customFormat="1" ht="14.25" customHeight="1" x14ac:dyDescent="0.25">
      <c r="A77" s="2" t="s">
        <v>8</v>
      </c>
      <c r="B77" s="2" t="s">
        <v>17</v>
      </c>
      <c r="C77" s="2" t="s">
        <v>77</v>
      </c>
      <c r="D77" s="2">
        <f>250/89</f>
        <v>2.808988764044944</v>
      </c>
      <c r="E77" s="2" t="s">
        <v>30</v>
      </c>
      <c r="F77" s="2">
        <f>25.2/1000</f>
        <v>2.52E-2</v>
      </c>
      <c r="G77" s="2" t="s">
        <v>31</v>
      </c>
      <c r="H77" s="2" t="s">
        <v>120</v>
      </c>
      <c r="I77" s="2">
        <v>12</v>
      </c>
      <c r="J77" s="2" t="s">
        <v>90</v>
      </c>
      <c r="K77" s="2" t="s">
        <v>223</v>
      </c>
      <c r="N77" s="2" t="s">
        <v>222</v>
      </c>
    </row>
    <row r="78" spans="1:15" s="2" customFormat="1" ht="14.25" customHeight="1" x14ac:dyDescent="0.25">
      <c r="A78" s="2" t="s">
        <v>8</v>
      </c>
      <c r="B78" s="2" t="s">
        <v>17</v>
      </c>
      <c r="C78" s="2" t="s">
        <v>77</v>
      </c>
      <c r="D78" s="2">
        <f>250/70</f>
        <v>3.5714285714285716</v>
      </c>
      <c r="E78" s="2" t="s">
        <v>30</v>
      </c>
      <c r="F78" s="2">
        <f>38.75/1000</f>
        <v>3.875E-2</v>
      </c>
      <c r="G78" s="2" t="s">
        <v>31</v>
      </c>
      <c r="H78" s="2" t="s">
        <v>120</v>
      </c>
      <c r="I78" s="2">
        <v>20</v>
      </c>
      <c r="J78" s="2" t="s">
        <v>90</v>
      </c>
      <c r="K78" s="2" t="s">
        <v>224</v>
      </c>
      <c r="N78" s="2" t="s">
        <v>251</v>
      </c>
    </row>
    <row r="79" spans="1:15" ht="13.5" customHeight="1" x14ac:dyDescent="0.25">
      <c r="A79" s="2" t="s">
        <v>8</v>
      </c>
      <c r="B79" s="2" t="s">
        <v>17</v>
      </c>
      <c r="C79" s="2" t="s">
        <v>77</v>
      </c>
      <c r="D79" s="2">
        <f>200/75.5</f>
        <v>2.6490066225165565</v>
      </c>
      <c r="E79" s="2" t="s">
        <v>30</v>
      </c>
      <c r="F79" s="2">
        <v>4.8000000000000001E-2</v>
      </c>
      <c r="G79" s="2" t="s">
        <v>31</v>
      </c>
      <c r="H79" s="2" t="s">
        <v>120</v>
      </c>
      <c r="I79" s="2">
        <v>3</v>
      </c>
      <c r="J79" s="2" t="s">
        <v>90</v>
      </c>
      <c r="K79" s="2" t="s">
        <v>225</v>
      </c>
      <c r="L79" s="2"/>
      <c r="M79" s="2"/>
      <c r="N79" s="2" t="s">
        <v>226</v>
      </c>
      <c r="O79" s="2"/>
    </row>
    <row r="80" spans="1:15" x14ac:dyDescent="0.25">
      <c r="A80" t="s">
        <v>1</v>
      </c>
      <c r="B80" t="s">
        <v>24</v>
      </c>
      <c r="C80" t="s">
        <v>83</v>
      </c>
      <c r="D80">
        <f>1/78</f>
        <v>1.282051282051282E-2</v>
      </c>
      <c r="E80" t="s">
        <v>30</v>
      </c>
      <c r="F80">
        <v>0.10299999999999999</v>
      </c>
      <c r="G80" t="s">
        <v>31</v>
      </c>
      <c r="H80" t="s">
        <v>120</v>
      </c>
      <c r="I80">
        <v>12</v>
      </c>
      <c r="J80" t="s">
        <v>100</v>
      </c>
      <c r="K80" t="s">
        <v>91</v>
      </c>
    </row>
    <row r="81" spans="1:15" x14ac:dyDescent="0.25">
      <c r="A81" t="s">
        <v>1</v>
      </c>
      <c r="B81" t="s">
        <v>24</v>
      </c>
      <c r="C81" t="s">
        <v>83</v>
      </c>
      <c r="D81">
        <f>2/78</f>
        <v>2.564102564102564E-2</v>
      </c>
      <c r="E81" t="s">
        <v>30</v>
      </c>
      <c r="F81">
        <v>0.17599999999999999</v>
      </c>
      <c r="G81" t="s">
        <v>31</v>
      </c>
      <c r="H81" t="s">
        <v>120</v>
      </c>
      <c r="I81">
        <v>12</v>
      </c>
      <c r="J81" t="s">
        <v>100</v>
      </c>
      <c r="K81" t="s">
        <v>91</v>
      </c>
    </row>
    <row r="82" spans="1:15" x14ac:dyDescent="0.25">
      <c r="A82" t="s">
        <v>1</v>
      </c>
      <c r="B82" t="s">
        <v>24</v>
      </c>
      <c r="C82" t="s">
        <v>83</v>
      </c>
      <c r="D82">
        <f>4/78</f>
        <v>5.128205128205128E-2</v>
      </c>
      <c r="E82" t="s">
        <v>30</v>
      </c>
      <c r="F82">
        <v>0.307</v>
      </c>
      <c r="G82" t="s">
        <v>31</v>
      </c>
      <c r="H82" t="s">
        <v>120</v>
      </c>
      <c r="I82">
        <v>12</v>
      </c>
      <c r="J82" t="s">
        <v>100</v>
      </c>
      <c r="K82" t="s">
        <v>91</v>
      </c>
    </row>
    <row r="83" spans="1:15" x14ac:dyDescent="0.25">
      <c r="A83" t="s">
        <v>1</v>
      </c>
      <c r="B83" t="s">
        <v>24</v>
      </c>
      <c r="C83" t="s">
        <v>83</v>
      </c>
      <c r="D83">
        <f>8/78</f>
        <v>0.10256410256410256</v>
      </c>
      <c r="E83" t="s">
        <v>30</v>
      </c>
      <c r="F83">
        <v>0.55079999999999996</v>
      </c>
      <c r="G83" t="s">
        <v>31</v>
      </c>
      <c r="H83" t="s">
        <v>120</v>
      </c>
      <c r="I83">
        <v>13</v>
      </c>
      <c r="J83" t="s">
        <v>100</v>
      </c>
      <c r="K83" t="s">
        <v>102</v>
      </c>
    </row>
    <row r="84" spans="1:15" x14ac:dyDescent="0.25">
      <c r="A84" t="s">
        <v>1</v>
      </c>
      <c r="B84" t="s">
        <v>24</v>
      </c>
      <c r="C84" t="s">
        <v>83</v>
      </c>
      <c r="D84">
        <f>6/70</f>
        <v>8.5714285714285715E-2</v>
      </c>
      <c r="E84" t="s">
        <v>30</v>
      </c>
      <c r="F84">
        <v>0.51859999999999995</v>
      </c>
      <c r="G84" t="s">
        <v>31</v>
      </c>
      <c r="H84" t="s">
        <v>120</v>
      </c>
      <c r="I84">
        <v>24</v>
      </c>
      <c r="J84" t="s">
        <v>100</v>
      </c>
      <c r="K84" t="s">
        <v>93</v>
      </c>
      <c r="N84" t="s">
        <v>101</v>
      </c>
    </row>
    <row r="85" spans="1:15" x14ac:dyDescent="0.25">
      <c r="A85" t="s">
        <v>1</v>
      </c>
      <c r="B85" t="s">
        <v>24</v>
      </c>
      <c r="C85" t="s">
        <v>83</v>
      </c>
      <c r="D85">
        <f>1/((58.75+60.06)/2)</f>
        <v>1.68335998653312E-2</v>
      </c>
      <c r="E85" t="s">
        <v>30</v>
      </c>
      <c r="F85">
        <f>(77.8+119.7)/2/1000</f>
        <v>9.8750000000000004E-2</v>
      </c>
      <c r="G85" t="s">
        <v>31</v>
      </c>
      <c r="H85" t="s">
        <v>120</v>
      </c>
      <c r="I85">
        <v>72</v>
      </c>
      <c r="J85" t="s">
        <v>90</v>
      </c>
      <c r="K85" t="s">
        <v>94</v>
      </c>
      <c r="N85" t="s">
        <v>103</v>
      </c>
    </row>
    <row r="86" spans="1:15" x14ac:dyDescent="0.25">
      <c r="A86" t="s">
        <v>1</v>
      </c>
      <c r="B86" t="s">
        <v>24</v>
      </c>
      <c r="C86" t="s">
        <v>83</v>
      </c>
      <c r="D86">
        <f>4/68.5</f>
        <v>5.8394160583941604E-2</v>
      </c>
      <c r="E86" t="s">
        <v>30</v>
      </c>
      <c r="F86">
        <v>0.32600000000000001</v>
      </c>
      <c r="G86" t="s">
        <v>31</v>
      </c>
      <c r="H86" t="s">
        <v>120</v>
      </c>
      <c r="I86">
        <v>34</v>
      </c>
      <c r="J86" t="s">
        <v>90</v>
      </c>
      <c r="K86" t="s">
        <v>95</v>
      </c>
    </row>
    <row r="87" spans="1:15" x14ac:dyDescent="0.25">
      <c r="A87" t="s">
        <v>1</v>
      </c>
      <c r="B87" t="s">
        <v>24</v>
      </c>
      <c r="C87" t="s">
        <v>83</v>
      </c>
      <c r="D87">
        <f>1/72.2</f>
        <v>1.3850415512465374E-2</v>
      </c>
      <c r="E87" t="s">
        <v>30</v>
      </c>
      <c r="F87">
        <v>3.4000000000000002E-2</v>
      </c>
      <c r="G87" t="s">
        <v>31</v>
      </c>
      <c r="H87" t="s">
        <v>120</v>
      </c>
      <c r="I87">
        <v>18</v>
      </c>
      <c r="J87" t="s">
        <v>90</v>
      </c>
      <c r="K87" t="s">
        <v>96</v>
      </c>
    </row>
    <row r="88" spans="1:15" x14ac:dyDescent="0.25">
      <c r="A88" t="s">
        <v>1</v>
      </c>
      <c r="B88" t="s">
        <v>24</v>
      </c>
      <c r="C88" t="s">
        <v>83</v>
      </c>
      <c r="K88" t="s">
        <v>97</v>
      </c>
      <c r="N88" t="s">
        <v>104</v>
      </c>
    </row>
    <row r="89" spans="1:15" x14ac:dyDescent="0.25">
      <c r="A89" t="s">
        <v>1</v>
      </c>
      <c r="B89" t="s">
        <v>24</v>
      </c>
      <c r="C89" t="s">
        <v>83</v>
      </c>
      <c r="D89">
        <f>1/72.75</f>
        <v>1.3745704467353952E-2</v>
      </c>
      <c r="E89" t="s">
        <v>30</v>
      </c>
      <c r="F89">
        <v>8.48E-2</v>
      </c>
      <c r="G89" t="s">
        <v>31</v>
      </c>
      <c r="H89" t="s">
        <v>120</v>
      </c>
      <c r="I89">
        <v>24</v>
      </c>
      <c r="J89" t="s">
        <v>90</v>
      </c>
      <c r="K89" t="s">
        <v>98</v>
      </c>
    </row>
    <row r="90" spans="1:15" x14ac:dyDescent="0.25">
      <c r="A90" t="s">
        <v>1</v>
      </c>
      <c r="B90" t="s">
        <v>24</v>
      </c>
      <c r="C90" t="s">
        <v>83</v>
      </c>
      <c r="D90">
        <f>2/72.75</f>
        <v>2.7491408934707903E-2</v>
      </c>
      <c r="E90" t="s">
        <v>30</v>
      </c>
      <c r="F90">
        <v>0.1739</v>
      </c>
      <c r="G90" t="s">
        <v>31</v>
      </c>
      <c r="H90" t="s">
        <v>120</v>
      </c>
      <c r="I90">
        <v>24</v>
      </c>
      <c r="J90" t="s">
        <v>90</v>
      </c>
      <c r="K90" t="s">
        <v>98</v>
      </c>
    </row>
    <row r="91" spans="1:15" x14ac:dyDescent="0.25">
      <c r="A91" t="s">
        <v>1</v>
      </c>
      <c r="B91" t="s">
        <v>24</v>
      </c>
      <c r="C91" t="s">
        <v>83</v>
      </c>
      <c r="D91">
        <f>3/72.75</f>
        <v>4.1237113402061855E-2</v>
      </c>
      <c r="E91" t="s">
        <v>30</v>
      </c>
      <c r="F91">
        <v>0.25469999999999998</v>
      </c>
      <c r="G91" t="s">
        <v>31</v>
      </c>
      <c r="H91" t="s">
        <v>120</v>
      </c>
      <c r="I91">
        <v>24</v>
      </c>
      <c r="J91" t="s">
        <v>90</v>
      </c>
      <c r="K91" t="s">
        <v>98</v>
      </c>
    </row>
    <row r="92" spans="1:15" x14ac:dyDescent="0.25">
      <c r="A92" t="s">
        <v>1</v>
      </c>
      <c r="B92" t="s">
        <v>24</v>
      </c>
      <c r="C92" t="s">
        <v>83</v>
      </c>
      <c r="D92">
        <f>4/72.75</f>
        <v>5.4982817869415807E-2</v>
      </c>
      <c r="E92" t="s">
        <v>30</v>
      </c>
      <c r="F92">
        <v>0.3332</v>
      </c>
      <c r="G92" t="s">
        <v>31</v>
      </c>
      <c r="H92" t="s">
        <v>120</v>
      </c>
      <c r="I92">
        <v>24</v>
      </c>
      <c r="J92" t="s">
        <v>90</v>
      </c>
      <c r="K92" t="s">
        <v>98</v>
      </c>
    </row>
    <row r="93" spans="1:15" x14ac:dyDescent="0.25">
      <c r="A93" t="s">
        <v>1</v>
      </c>
      <c r="B93" t="s">
        <v>24</v>
      </c>
      <c r="C93" t="s">
        <v>83</v>
      </c>
      <c r="D93">
        <f>6/72.75</f>
        <v>8.247422680412371E-2</v>
      </c>
      <c r="E93" t="s">
        <v>30</v>
      </c>
      <c r="F93">
        <v>0.51200000000000001</v>
      </c>
      <c r="G93" t="s">
        <v>31</v>
      </c>
      <c r="H93" t="s">
        <v>120</v>
      </c>
      <c r="I93">
        <v>24</v>
      </c>
      <c r="J93" t="s">
        <v>90</v>
      </c>
      <c r="K93" t="s">
        <v>98</v>
      </c>
    </row>
    <row r="94" spans="1:15" s="2" customFormat="1" x14ac:dyDescent="0.25">
      <c r="A94" t="s">
        <v>1</v>
      </c>
      <c r="B94" t="s">
        <v>24</v>
      </c>
      <c r="C94" t="s">
        <v>83</v>
      </c>
      <c r="D94">
        <f>2/64</f>
        <v>3.125E-2</v>
      </c>
      <c r="E94" t="s">
        <v>30</v>
      </c>
      <c r="F94">
        <v>7.3999999999999996E-2</v>
      </c>
      <c r="G94" t="s">
        <v>31</v>
      </c>
      <c r="H94" t="s">
        <v>120</v>
      </c>
      <c r="I94">
        <v>24</v>
      </c>
      <c r="J94" t="s">
        <v>90</v>
      </c>
      <c r="K94" t="s">
        <v>99</v>
      </c>
      <c r="L94"/>
      <c r="M94"/>
      <c r="N94"/>
      <c r="O94"/>
    </row>
    <row r="95" spans="1:15" s="2" customFormat="1" ht="14.25" customHeight="1" x14ac:dyDescent="0.25">
      <c r="A95" t="s">
        <v>1</v>
      </c>
      <c r="B95" t="s">
        <v>24</v>
      </c>
      <c r="C95" t="s">
        <v>83</v>
      </c>
      <c r="D95">
        <f>4/73</f>
        <v>5.4794520547945202E-2</v>
      </c>
      <c r="E95" t="s">
        <v>30</v>
      </c>
      <c r="F95">
        <v>0.13400000000000001</v>
      </c>
      <c r="G95" t="s">
        <v>31</v>
      </c>
      <c r="H95" t="s">
        <v>120</v>
      </c>
      <c r="I95">
        <v>24</v>
      </c>
      <c r="J95" t="s">
        <v>90</v>
      </c>
      <c r="K95" t="s">
        <v>92</v>
      </c>
      <c r="L95"/>
      <c r="M95"/>
      <c r="N95" t="s">
        <v>116</v>
      </c>
      <c r="O95"/>
    </row>
    <row r="96" spans="1:15" x14ac:dyDescent="0.25">
      <c r="A96" t="s">
        <v>1</v>
      </c>
      <c r="B96" t="s">
        <v>24</v>
      </c>
      <c r="C96" t="s">
        <v>83</v>
      </c>
      <c r="D96">
        <f>6/70</f>
        <v>8.5714285714285715E-2</v>
      </c>
      <c r="E96" t="s">
        <v>30</v>
      </c>
      <c r="H96" t="s">
        <v>120</v>
      </c>
      <c r="J96" t="s">
        <v>90</v>
      </c>
      <c r="K96" t="s">
        <v>314</v>
      </c>
    </row>
    <row r="97" spans="1:15" x14ac:dyDescent="0.25">
      <c r="A97" s="2" t="s">
        <v>186</v>
      </c>
      <c r="B97" s="2" t="s">
        <v>187</v>
      </c>
      <c r="C97" s="2" t="s">
        <v>188</v>
      </c>
      <c r="D97" s="2">
        <f>5/71.5</f>
        <v>6.9930069930069935E-2</v>
      </c>
      <c r="E97" t="s">
        <v>30</v>
      </c>
      <c r="F97" s="2">
        <f>(1.41+1.44)/1000</f>
        <v>2.8499999999999997E-3</v>
      </c>
      <c r="G97" s="2" t="s">
        <v>31</v>
      </c>
      <c r="H97" s="2" t="s">
        <v>120</v>
      </c>
      <c r="I97" s="2">
        <v>28</v>
      </c>
      <c r="J97" s="2" t="s">
        <v>90</v>
      </c>
      <c r="K97" s="2" t="s">
        <v>41</v>
      </c>
      <c r="L97" s="2"/>
      <c r="M97" s="2"/>
      <c r="N97" s="2" t="s">
        <v>219</v>
      </c>
      <c r="O97" s="2"/>
    </row>
    <row r="98" spans="1:15" x14ac:dyDescent="0.25">
      <c r="A98" s="2" t="s">
        <v>186</v>
      </c>
      <c r="B98" s="2" t="s">
        <v>187</v>
      </c>
      <c r="C98" s="2" t="s">
        <v>188</v>
      </c>
      <c r="D98">
        <f>5/77.6</f>
        <v>6.4432989690721656E-2</v>
      </c>
      <c r="E98" t="s">
        <v>30</v>
      </c>
      <c r="F98">
        <f>1.9/1000</f>
        <v>1.9E-3</v>
      </c>
      <c r="G98" s="2" t="s">
        <v>31</v>
      </c>
      <c r="H98" s="2" t="s">
        <v>120</v>
      </c>
      <c r="I98" s="2">
        <v>17</v>
      </c>
      <c r="J98" s="2" t="s">
        <v>90</v>
      </c>
      <c r="K98" s="2" t="s">
        <v>195</v>
      </c>
    </row>
    <row r="99" spans="1:15" s="2" customFormat="1" x14ac:dyDescent="0.25">
      <c r="A99" s="2" t="s">
        <v>186</v>
      </c>
      <c r="B99" s="2" t="s">
        <v>187</v>
      </c>
      <c r="C99" s="2" t="s">
        <v>188</v>
      </c>
      <c r="D99">
        <f>5/63.5</f>
        <v>7.874015748031496E-2</v>
      </c>
      <c r="E99" t="s">
        <v>30</v>
      </c>
      <c r="F99">
        <f>0.85/1000</f>
        <v>8.4999999999999995E-4</v>
      </c>
      <c r="G99" s="2" t="s">
        <v>31</v>
      </c>
      <c r="H99" s="2" t="s">
        <v>120</v>
      </c>
      <c r="I99" s="2">
        <v>24</v>
      </c>
      <c r="J99" s="2" t="s">
        <v>90</v>
      </c>
      <c r="K99" s="2" t="s">
        <v>196</v>
      </c>
      <c r="L99"/>
      <c r="M99"/>
      <c r="N99" t="s">
        <v>220</v>
      </c>
      <c r="O99"/>
    </row>
    <row r="100" spans="1:15" s="2" customFormat="1" x14ac:dyDescent="0.25">
      <c r="A100" s="2" t="s">
        <v>186</v>
      </c>
      <c r="B100" s="2" t="s">
        <v>187</v>
      </c>
      <c r="C100" s="2" t="s">
        <v>188</v>
      </c>
      <c r="D100" s="2">
        <f>15/70</f>
        <v>0.21428571428571427</v>
      </c>
      <c r="E100" t="s">
        <v>30</v>
      </c>
      <c r="H100" s="2" t="s">
        <v>120</v>
      </c>
      <c r="J100" t="s">
        <v>90</v>
      </c>
      <c r="K100" s="2" t="s">
        <v>314</v>
      </c>
    </row>
    <row r="101" spans="1:15" s="2" customFormat="1" x14ac:dyDescent="0.25">
      <c r="A101" s="2" t="s">
        <v>9</v>
      </c>
      <c r="B101" s="2" t="s">
        <v>18</v>
      </c>
      <c r="C101" s="2" t="s">
        <v>78</v>
      </c>
      <c r="D101" s="2">
        <f>200/64</f>
        <v>3.125</v>
      </c>
      <c r="E101" s="2" t="s">
        <v>30</v>
      </c>
      <c r="F101" s="2">
        <v>4.3600000000000003</v>
      </c>
      <c r="G101" s="2" t="s">
        <v>31</v>
      </c>
      <c r="H101" s="2" t="s">
        <v>120</v>
      </c>
      <c r="I101" s="2">
        <v>8</v>
      </c>
      <c r="J101" s="2" t="s">
        <v>100</v>
      </c>
      <c r="K101" s="2" t="s">
        <v>227</v>
      </c>
      <c r="N101" s="2" t="s">
        <v>228</v>
      </c>
    </row>
    <row r="102" spans="1:15" s="2" customFormat="1" x14ac:dyDescent="0.25">
      <c r="A102" s="2" t="s">
        <v>9</v>
      </c>
      <c r="B102" s="2" t="s">
        <v>18</v>
      </c>
      <c r="C102" s="2" t="s">
        <v>78</v>
      </c>
      <c r="D102" s="2">
        <f>400/64</f>
        <v>6.25</v>
      </c>
      <c r="E102" s="2" t="s">
        <v>30</v>
      </c>
      <c r="F102" s="2">
        <v>9.06</v>
      </c>
      <c r="G102" s="2" t="s">
        <v>31</v>
      </c>
      <c r="H102" s="2" t="s">
        <v>120</v>
      </c>
      <c r="I102" s="2">
        <v>8</v>
      </c>
      <c r="J102" s="2" t="s">
        <v>100</v>
      </c>
      <c r="K102" s="2" t="s">
        <v>227</v>
      </c>
      <c r="N102" s="2" t="s">
        <v>228</v>
      </c>
    </row>
    <row r="103" spans="1:15" s="2" customFormat="1" x14ac:dyDescent="0.25">
      <c r="A103" s="2" t="s">
        <v>9</v>
      </c>
      <c r="B103" s="2" t="s">
        <v>18</v>
      </c>
      <c r="C103" s="2" t="s">
        <v>78</v>
      </c>
      <c r="D103" s="2">
        <f>600/64</f>
        <v>9.375</v>
      </c>
      <c r="E103" s="2" t="s">
        <v>30</v>
      </c>
      <c r="F103" s="2">
        <v>15.1</v>
      </c>
      <c r="G103" s="2" t="s">
        <v>31</v>
      </c>
      <c r="H103" s="2" t="s">
        <v>120</v>
      </c>
      <c r="I103" s="2">
        <v>8</v>
      </c>
      <c r="J103" s="2" t="s">
        <v>100</v>
      </c>
      <c r="K103" s="2" t="s">
        <v>227</v>
      </c>
      <c r="N103" s="2" t="s">
        <v>228</v>
      </c>
    </row>
    <row r="104" spans="1:15" s="2" customFormat="1" x14ac:dyDescent="0.25">
      <c r="A104" s="2" t="s">
        <v>9</v>
      </c>
      <c r="B104" s="2" t="s">
        <v>18</v>
      </c>
      <c r="C104" s="2" t="s">
        <v>78</v>
      </c>
      <c r="D104" s="2">
        <f>800/64</f>
        <v>12.5</v>
      </c>
      <c r="E104" s="2" t="s">
        <v>30</v>
      </c>
      <c r="F104" s="2">
        <v>20.97</v>
      </c>
      <c r="G104" s="2" t="s">
        <v>31</v>
      </c>
      <c r="H104" s="2" t="s">
        <v>120</v>
      </c>
      <c r="I104" s="2">
        <v>8</v>
      </c>
      <c r="J104" s="2" t="s">
        <v>100</v>
      </c>
      <c r="K104" s="2" t="s">
        <v>227</v>
      </c>
      <c r="N104" s="2" t="s">
        <v>228</v>
      </c>
    </row>
    <row r="105" spans="1:15" s="2" customFormat="1" x14ac:dyDescent="0.25">
      <c r="A105" s="2" t="s">
        <v>9</v>
      </c>
      <c r="B105" s="2" t="s">
        <v>18</v>
      </c>
      <c r="C105" s="2" t="s">
        <v>78</v>
      </c>
      <c r="D105" s="2">
        <f>400/70.3</f>
        <v>5.6899004267425326</v>
      </c>
      <c r="E105" s="2" t="s">
        <v>30</v>
      </c>
      <c r="F105" s="2">
        <v>9.3000000000000007</v>
      </c>
      <c r="G105" s="2" t="s">
        <v>31</v>
      </c>
      <c r="H105" s="2" t="s">
        <v>120</v>
      </c>
      <c r="I105" s="2">
        <v>5</v>
      </c>
      <c r="J105" s="2" t="s">
        <v>100</v>
      </c>
      <c r="K105" s="2" t="s">
        <v>229</v>
      </c>
      <c r="N105" s="2" t="s">
        <v>237</v>
      </c>
    </row>
    <row r="106" spans="1:15" s="2" customFormat="1" x14ac:dyDescent="0.25">
      <c r="A106" s="2" t="s">
        <v>9</v>
      </c>
      <c r="B106" s="2" t="s">
        <v>18</v>
      </c>
      <c r="C106" s="2" t="s">
        <v>78</v>
      </c>
      <c r="D106" s="2">
        <f>400/70.3</f>
        <v>5.6899004267425326</v>
      </c>
      <c r="E106" s="2" t="s">
        <v>30</v>
      </c>
      <c r="F106" s="2">
        <v>10.5</v>
      </c>
      <c r="G106" s="2" t="s">
        <v>31</v>
      </c>
      <c r="H106" s="2" t="s">
        <v>120</v>
      </c>
      <c r="I106" s="2">
        <v>5</v>
      </c>
      <c r="J106" s="2" t="s">
        <v>100</v>
      </c>
      <c r="K106" s="2" t="s">
        <v>229</v>
      </c>
      <c r="N106" s="2" t="s">
        <v>238</v>
      </c>
    </row>
    <row r="107" spans="1:15" s="2" customFormat="1" x14ac:dyDescent="0.25">
      <c r="A107" s="2" t="s">
        <v>9</v>
      </c>
      <c r="B107" s="2" t="s">
        <v>18</v>
      </c>
      <c r="C107" s="2" t="s">
        <v>78</v>
      </c>
      <c r="D107" s="2">
        <f>400/70</f>
        <v>5.7142857142857144</v>
      </c>
      <c r="E107" s="2" t="s">
        <v>30</v>
      </c>
      <c r="F107" s="2">
        <v>6.5</v>
      </c>
      <c r="G107" s="2" t="s">
        <v>31</v>
      </c>
      <c r="H107" s="2" t="s">
        <v>120</v>
      </c>
      <c r="I107" s="2">
        <v>24</v>
      </c>
      <c r="J107" s="2" t="s">
        <v>100</v>
      </c>
      <c r="K107" s="2" t="s">
        <v>230</v>
      </c>
      <c r="N107" s="2" t="s">
        <v>239</v>
      </c>
    </row>
    <row r="108" spans="1:15" s="2" customFormat="1" x14ac:dyDescent="0.25">
      <c r="A108" s="2" t="s">
        <v>9</v>
      </c>
      <c r="B108" s="2" t="s">
        <v>18</v>
      </c>
      <c r="C108" s="2" t="s">
        <v>78</v>
      </c>
      <c r="D108" s="2">
        <f>400/82.5</f>
        <v>4.8484848484848486</v>
      </c>
      <c r="E108" s="2" t="s">
        <v>30</v>
      </c>
      <c r="F108" s="2">
        <v>12.34</v>
      </c>
      <c r="G108" s="2" t="s">
        <v>31</v>
      </c>
      <c r="H108" s="2" t="s">
        <v>120</v>
      </c>
      <c r="I108" s="2">
        <v>12</v>
      </c>
      <c r="J108" s="2" t="s">
        <v>100</v>
      </c>
      <c r="K108" s="2" t="s">
        <v>232</v>
      </c>
      <c r="N108" s="2" t="s">
        <v>231</v>
      </c>
    </row>
    <row r="109" spans="1:15" s="2" customFormat="1" x14ac:dyDescent="0.25">
      <c r="A109" s="2" t="s">
        <v>9</v>
      </c>
      <c r="B109" s="2" t="s">
        <v>18</v>
      </c>
      <c r="C109" s="2" t="s">
        <v>78</v>
      </c>
      <c r="D109" s="2">
        <f>200/70</f>
        <v>2.8571428571428572</v>
      </c>
      <c r="E109" s="2" t="s">
        <v>30</v>
      </c>
      <c r="F109" s="2">
        <v>4.13</v>
      </c>
      <c r="G109" s="2" t="s">
        <v>31</v>
      </c>
      <c r="H109" s="2" t="s">
        <v>120</v>
      </c>
      <c r="I109" s="2">
        <v>9</v>
      </c>
      <c r="J109" s="2" t="s">
        <v>100</v>
      </c>
      <c r="K109" s="2" t="s">
        <v>233</v>
      </c>
      <c r="N109" s="2" t="s">
        <v>234</v>
      </c>
    </row>
    <row r="110" spans="1:15" s="2" customFormat="1" x14ac:dyDescent="0.25">
      <c r="A110" s="2" t="s">
        <v>9</v>
      </c>
      <c r="B110" s="2" t="s">
        <v>18</v>
      </c>
      <c r="C110" s="2" t="s">
        <v>78</v>
      </c>
      <c r="D110" s="2">
        <f>400/65.7</f>
        <v>6.0882800608828003</v>
      </c>
      <c r="E110" s="2" t="s">
        <v>30</v>
      </c>
      <c r="F110" s="2">
        <v>10.3</v>
      </c>
      <c r="G110" s="2" t="s">
        <v>31</v>
      </c>
      <c r="H110" s="2" t="s">
        <v>120</v>
      </c>
      <c r="I110" s="2">
        <v>14</v>
      </c>
      <c r="J110" s="2" t="s">
        <v>90</v>
      </c>
      <c r="K110" s="2" t="s">
        <v>235</v>
      </c>
      <c r="N110" s="2" t="s">
        <v>236</v>
      </c>
    </row>
    <row r="111" spans="1:15" s="2" customFormat="1" x14ac:dyDescent="0.25">
      <c r="A111" s="2" t="s">
        <v>9</v>
      </c>
      <c r="B111" s="2" t="s">
        <v>18</v>
      </c>
      <c r="C111" s="2" t="s">
        <v>78</v>
      </c>
      <c r="D111" s="2">
        <f>200/76.4</f>
        <v>2.6178010471204187</v>
      </c>
      <c r="E111" s="2" t="s">
        <v>30</v>
      </c>
      <c r="F111" s="2">
        <f>(4.2+5)/2</f>
        <v>4.5999999999999996</v>
      </c>
      <c r="G111" s="2" t="s">
        <v>31</v>
      </c>
      <c r="H111" s="2" t="s">
        <v>120</v>
      </c>
      <c r="I111" s="2">
        <v>23</v>
      </c>
      <c r="J111" s="2" t="s">
        <v>90</v>
      </c>
      <c r="K111" s="2" t="s">
        <v>242</v>
      </c>
      <c r="N111" s="2" t="s">
        <v>306</v>
      </c>
    </row>
    <row r="112" spans="1:15" s="2" customFormat="1" x14ac:dyDescent="0.25">
      <c r="A112" s="2" t="s">
        <v>9</v>
      </c>
      <c r="B112" s="2" t="s">
        <v>18</v>
      </c>
      <c r="C112" s="2" t="s">
        <v>78</v>
      </c>
      <c r="D112" s="2">
        <f>200/76.4</f>
        <v>2.6178010471204187</v>
      </c>
      <c r="E112" s="2" t="s">
        <v>30</v>
      </c>
      <c r="F112" s="2">
        <v>6.2</v>
      </c>
      <c r="G112" s="2" t="s">
        <v>31</v>
      </c>
      <c r="H112" s="2" t="s">
        <v>120</v>
      </c>
      <c r="I112" s="2">
        <v>23</v>
      </c>
      <c r="J112" s="2" t="s">
        <v>90</v>
      </c>
      <c r="K112" s="2" t="s">
        <v>242</v>
      </c>
      <c r="N112" s="2" t="s">
        <v>241</v>
      </c>
    </row>
    <row r="113" spans="1:15" s="2" customFormat="1" x14ac:dyDescent="0.25">
      <c r="A113" s="2" t="s">
        <v>9</v>
      </c>
      <c r="B113" s="2" t="s">
        <v>18</v>
      </c>
      <c r="C113" s="2" t="s">
        <v>78</v>
      </c>
      <c r="D113" s="2">
        <f>400/76.4</f>
        <v>5.2356020942408374</v>
      </c>
      <c r="E113" s="2" t="s">
        <v>30</v>
      </c>
      <c r="F113" s="2">
        <v>11.77</v>
      </c>
      <c r="G113" s="2" t="s">
        <v>31</v>
      </c>
      <c r="H113" s="2" t="s">
        <v>120</v>
      </c>
      <c r="I113" s="2">
        <v>12</v>
      </c>
      <c r="J113" s="2" t="s">
        <v>90</v>
      </c>
      <c r="K113" s="2" t="s">
        <v>242</v>
      </c>
      <c r="N113" s="2" t="s">
        <v>240</v>
      </c>
    </row>
    <row r="114" spans="1:15" s="2" customFormat="1" x14ac:dyDescent="0.25">
      <c r="A114" s="2" t="s">
        <v>9</v>
      </c>
      <c r="B114" s="2" t="s">
        <v>18</v>
      </c>
      <c r="C114" s="2" t="s">
        <v>78</v>
      </c>
      <c r="D114" s="2">
        <f>800/76.4</f>
        <v>10.471204188481675</v>
      </c>
      <c r="E114" s="2" t="s">
        <v>30</v>
      </c>
      <c r="F114" s="2">
        <v>21.38</v>
      </c>
      <c r="G114" s="2" t="s">
        <v>31</v>
      </c>
      <c r="H114" s="2" t="s">
        <v>120</v>
      </c>
      <c r="I114" s="2">
        <v>12</v>
      </c>
      <c r="J114" s="2" t="s">
        <v>90</v>
      </c>
      <c r="K114" s="2" t="s">
        <v>242</v>
      </c>
      <c r="N114" s="2" t="s">
        <v>240</v>
      </c>
    </row>
    <row r="115" spans="1:15" s="2" customFormat="1" x14ac:dyDescent="0.25">
      <c r="A115" s="2" t="s">
        <v>9</v>
      </c>
      <c r="B115" s="2" t="s">
        <v>18</v>
      </c>
      <c r="C115" s="2" t="s">
        <v>78</v>
      </c>
      <c r="D115" s="2">
        <f>200/62</f>
        <v>3.225806451612903</v>
      </c>
      <c r="E115" s="2" t="s">
        <v>30</v>
      </c>
      <c r="F115" s="2">
        <v>4.0999999999999996</v>
      </c>
      <c r="G115" s="2" t="s">
        <v>31</v>
      </c>
      <c r="H115" s="2" t="s">
        <v>120</v>
      </c>
      <c r="I115" s="2">
        <v>10</v>
      </c>
      <c r="J115" s="2" t="s">
        <v>100</v>
      </c>
      <c r="K115" s="2" t="s">
        <v>243</v>
      </c>
      <c r="N115" s="2" t="s">
        <v>244</v>
      </c>
    </row>
    <row r="116" spans="1:15" s="2" customFormat="1" x14ac:dyDescent="0.25">
      <c r="A116" s="2" t="s">
        <v>9</v>
      </c>
      <c r="B116" s="2" t="s">
        <v>18</v>
      </c>
      <c r="C116" s="2" t="s">
        <v>78</v>
      </c>
      <c r="D116" s="2">
        <f>400/61.6</f>
        <v>6.4935064935064934</v>
      </c>
      <c r="E116" s="2" t="s">
        <v>30</v>
      </c>
      <c r="F116" s="2">
        <v>6.6459999999999999</v>
      </c>
      <c r="G116" s="2" t="s">
        <v>31</v>
      </c>
      <c r="H116" s="2" t="s">
        <v>120</v>
      </c>
      <c r="I116" s="2">
        <v>24</v>
      </c>
      <c r="J116" s="2" t="s">
        <v>90</v>
      </c>
      <c r="K116" s="2" t="s">
        <v>245</v>
      </c>
      <c r="N116" s="2" t="s">
        <v>236</v>
      </c>
    </row>
    <row r="117" spans="1:15" s="2" customFormat="1" x14ac:dyDescent="0.25">
      <c r="A117" s="2" t="s">
        <v>9</v>
      </c>
      <c r="B117" s="2" t="s">
        <v>18</v>
      </c>
      <c r="C117" s="2" t="s">
        <v>78</v>
      </c>
      <c r="D117" s="2">
        <f>200/70</f>
        <v>2.8571428571428572</v>
      </c>
      <c r="E117" s="2" t="s">
        <v>30</v>
      </c>
      <c r="F117" s="2">
        <v>7.1</v>
      </c>
      <c r="G117" s="2" t="s">
        <v>31</v>
      </c>
      <c r="H117" s="2" t="s">
        <v>120</v>
      </c>
      <c r="I117" s="2">
        <v>24</v>
      </c>
      <c r="J117" s="2" t="s">
        <v>90</v>
      </c>
      <c r="K117" s="2" t="s">
        <v>246</v>
      </c>
      <c r="N117" s="2" t="s">
        <v>236</v>
      </c>
    </row>
    <row r="118" spans="1:15" s="2" customFormat="1" x14ac:dyDescent="0.25">
      <c r="A118" s="2" t="s">
        <v>9</v>
      </c>
      <c r="B118" s="2" t="s">
        <v>18</v>
      </c>
      <c r="C118" s="2" t="s">
        <v>78</v>
      </c>
      <c r="D118" s="2">
        <f>200/((59+85)/2)</f>
        <v>2.7777777777777777</v>
      </c>
      <c r="E118" s="2" t="s">
        <v>30</v>
      </c>
      <c r="F118" s="2">
        <v>5.282</v>
      </c>
      <c r="G118" s="2" t="s">
        <v>31</v>
      </c>
      <c r="H118" s="2" t="s">
        <v>120</v>
      </c>
      <c r="I118" s="2">
        <v>18</v>
      </c>
      <c r="J118" s="2" t="s">
        <v>90</v>
      </c>
      <c r="K118" s="2" t="s">
        <v>247</v>
      </c>
      <c r="N118" s="2" t="s">
        <v>236</v>
      </c>
    </row>
    <row r="119" spans="1:15" x14ac:dyDescent="0.25">
      <c r="A119" s="2" t="s">
        <v>9</v>
      </c>
      <c r="B119" s="2" t="s">
        <v>18</v>
      </c>
      <c r="C119" s="2" t="s">
        <v>78</v>
      </c>
      <c r="D119" s="2">
        <f>200/64.3</f>
        <v>3.1104199066874028</v>
      </c>
      <c r="E119" s="2" t="s">
        <v>30</v>
      </c>
      <c r="F119" s="2">
        <f>AVERAGE(4.37+4.42+3.01)</f>
        <v>11.799999999999999</v>
      </c>
      <c r="G119" s="2" t="s">
        <v>31</v>
      </c>
      <c r="H119" s="2" t="s">
        <v>120</v>
      </c>
      <c r="I119" s="2">
        <v>12</v>
      </c>
      <c r="J119" s="2" t="s">
        <v>90</v>
      </c>
      <c r="K119" s="2" t="s">
        <v>248</v>
      </c>
      <c r="L119" s="2"/>
      <c r="M119" s="2"/>
      <c r="N119" s="2" t="s">
        <v>309</v>
      </c>
      <c r="O119" s="2"/>
    </row>
    <row r="120" spans="1:15" x14ac:dyDescent="0.25">
      <c r="A120" s="2" t="s">
        <v>9</v>
      </c>
      <c r="B120" s="2" t="s">
        <v>18</v>
      </c>
      <c r="C120" s="2" t="s">
        <v>78</v>
      </c>
      <c r="D120" s="2">
        <f>200/((55+76.5)/2)</f>
        <v>3.041825095057034</v>
      </c>
      <c r="E120" s="2" t="s">
        <v>30</v>
      </c>
      <c r="F120" s="2">
        <v>3.03</v>
      </c>
      <c r="G120" s="2" t="s">
        <v>31</v>
      </c>
      <c r="H120" s="2" t="s">
        <v>120</v>
      </c>
      <c r="I120" s="2">
        <v>6</v>
      </c>
      <c r="J120" s="2" t="s">
        <v>90</v>
      </c>
      <c r="K120" s="2" t="s">
        <v>250</v>
      </c>
      <c r="L120" s="2"/>
      <c r="M120" s="2"/>
      <c r="N120" s="2" t="s">
        <v>249</v>
      </c>
      <c r="O120" s="2"/>
    </row>
    <row r="121" spans="1:15" x14ac:dyDescent="0.25">
      <c r="A121" s="2" t="s">
        <v>9</v>
      </c>
      <c r="B121" s="2" t="s">
        <v>18</v>
      </c>
      <c r="C121" s="2" t="s">
        <v>78</v>
      </c>
      <c r="D121" s="2">
        <f>1200/70</f>
        <v>17.142857142857142</v>
      </c>
      <c r="E121" t="s">
        <v>30</v>
      </c>
      <c r="F121" s="2"/>
      <c r="G121" s="2"/>
      <c r="H121" s="2" t="s">
        <v>120</v>
      </c>
      <c r="I121" s="2"/>
      <c r="J121" s="2" t="s">
        <v>90</v>
      </c>
      <c r="K121" s="2" t="s">
        <v>314</v>
      </c>
      <c r="L121" s="2"/>
      <c r="M121" s="2"/>
      <c r="N121" s="2"/>
      <c r="O121" s="2"/>
    </row>
    <row r="122" spans="1:15" x14ac:dyDescent="0.25">
      <c r="A122" s="2" t="s">
        <v>189</v>
      </c>
      <c r="B122" s="2" t="s">
        <v>190</v>
      </c>
      <c r="C122" s="2" t="s">
        <v>191</v>
      </c>
      <c r="D122" s="2">
        <f>20/79.5</f>
        <v>0.25157232704402516</v>
      </c>
      <c r="E122" s="2" t="s">
        <v>30</v>
      </c>
      <c r="F122" s="2">
        <f>6/1000</f>
        <v>6.0000000000000001E-3</v>
      </c>
      <c r="G122" s="2" t="s">
        <v>31</v>
      </c>
      <c r="H122" s="2" t="s">
        <v>120</v>
      </c>
      <c r="I122" s="2">
        <v>10</v>
      </c>
      <c r="J122" s="2" t="s">
        <v>100</v>
      </c>
      <c r="K122" s="2" t="s">
        <v>252</v>
      </c>
      <c r="L122" s="2"/>
      <c r="M122" s="2"/>
      <c r="N122" s="2"/>
      <c r="O122" s="2"/>
    </row>
    <row r="123" spans="1:15" x14ac:dyDescent="0.25">
      <c r="A123" s="2" t="s">
        <v>189</v>
      </c>
      <c r="B123" s="2" t="s">
        <v>190</v>
      </c>
      <c r="C123" s="2" t="s">
        <v>191</v>
      </c>
      <c r="D123" s="2">
        <f>80/72</f>
        <v>1.1111111111111112</v>
      </c>
      <c r="E123" s="2" t="s">
        <v>30</v>
      </c>
      <c r="F123" s="2">
        <f>10.7/1000</f>
        <v>1.0699999999999999E-2</v>
      </c>
      <c r="G123" s="2" t="s">
        <v>31</v>
      </c>
      <c r="H123" s="2" t="s">
        <v>120</v>
      </c>
      <c r="I123" s="2">
        <v>12</v>
      </c>
      <c r="J123" s="2" t="s">
        <v>90</v>
      </c>
      <c r="K123" s="2" t="s">
        <v>253</v>
      </c>
      <c r="L123" s="2"/>
      <c r="M123" s="2"/>
      <c r="N123" s="2" t="s">
        <v>254</v>
      </c>
      <c r="O123" s="2"/>
    </row>
    <row r="124" spans="1:15" x14ac:dyDescent="0.25">
      <c r="A124" s="2" t="s">
        <v>189</v>
      </c>
      <c r="B124" s="2" t="s">
        <v>190</v>
      </c>
      <c r="C124" s="2" t="s">
        <v>191</v>
      </c>
      <c r="D124" s="2">
        <f>80/70</f>
        <v>1.1428571428571428</v>
      </c>
      <c r="E124" s="2" t="s">
        <v>30</v>
      </c>
      <c r="F124" s="2">
        <f>16.6/1000</f>
        <v>1.66E-2</v>
      </c>
      <c r="G124" s="2" t="s">
        <v>31</v>
      </c>
      <c r="H124" s="2" t="s">
        <v>120</v>
      </c>
      <c r="I124" s="2">
        <v>12</v>
      </c>
      <c r="J124" s="2" t="s">
        <v>90</v>
      </c>
      <c r="K124" s="2" t="s">
        <v>256</v>
      </c>
      <c r="L124" s="2"/>
      <c r="M124" s="2"/>
      <c r="N124" s="2" t="s">
        <v>255</v>
      </c>
      <c r="O124" s="2"/>
    </row>
    <row r="125" spans="1:15" x14ac:dyDescent="0.25">
      <c r="A125" s="2" t="s">
        <v>189</v>
      </c>
      <c r="B125" s="2" t="s">
        <v>190</v>
      </c>
      <c r="C125" s="2" t="s">
        <v>191</v>
      </c>
      <c r="D125" s="2">
        <f>20/70</f>
        <v>0.2857142857142857</v>
      </c>
      <c r="E125" s="2" t="s">
        <v>30</v>
      </c>
      <c r="F125" s="2">
        <f>1.9/1000</f>
        <v>1.9E-3</v>
      </c>
      <c r="G125" s="2" t="s">
        <v>31</v>
      </c>
      <c r="H125" s="2" t="s">
        <v>120</v>
      </c>
      <c r="I125" s="2">
        <v>14</v>
      </c>
      <c r="J125" s="2" t="s">
        <v>90</v>
      </c>
      <c r="K125" s="2" t="s">
        <v>257</v>
      </c>
      <c r="L125" s="2"/>
      <c r="M125" s="2"/>
      <c r="N125" s="2" t="s">
        <v>258</v>
      </c>
      <c r="O125" s="2"/>
    </row>
    <row r="126" spans="1:15" x14ac:dyDescent="0.25">
      <c r="A126" s="2" t="s">
        <v>189</v>
      </c>
      <c r="B126" s="2" t="s">
        <v>190</v>
      </c>
      <c r="C126" s="2" t="s">
        <v>191</v>
      </c>
      <c r="D126" s="2">
        <f>40/74.7</f>
        <v>0.53547523427041499</v>
      </c>
      <c r="E126" s="2" t="s">
        <v>30</v>
      </c>
      <c r="F126" s="2">
        <f>1.65/1000</f>
        <v>1.65E-3</v>
      </c>
      <c r="G126" s="2" t="s">
        <v>31</v>
      </c>
      <c r="H126" s="2" t="s">
        <v>120</v>
      </c>
      <c r="I126" s="2">
        <v>15</v>
      </c>
      <c r="J126" s="2" t="s">
        <v>90</v>
      </c>
      <c r="K126" s="2" t="s">
        <v>259</v>
      </c>
      <c r="L126" s="2"/>
      <c r="M126" s="2"/>
      <c r="N126" s="2"/>
      <c r="O126" s="2"/>
    </row>
    <row r="127" spans="1:15" x14ac:dyDescent="0.25">
      <c r="A127" s="2" t="s">
        <v>189</v>
      </c>
      <c r="B127" s="2" t="s">
        <v>190</v>
      </c>
      <c r="C127" s="2" t="s">
        <v>191</v>
      </c>
      <c r="D127" s="2">
        <f>20/70</f>
        <v>0.2857142857142857</v>
      </c>
      <c r="E127" s="2" t="s">
        <v>30</v>
      </c>
      <c r="F127" s="2">
        <f>3.067/1000</f>
        <v>3.0670000000000003E-3</v>
      </c>
      <c r="G127" s="2" t="s">
        <v>31</v>
      </c>
      <c r="H127" s="2" t="s">
        <v>120</v>
      </c>
      <c r="I127" s="2">
        <v>22</v>
      </c>
      <c r="J127" s="2" t="s">
        <v>90</v>
      </c>
      <c r="K127" s="2" t="s">
        <v>260</v>
      </c>
      <c r="L127" s="2"/>
      <c r="M127" s="2"/>
      <c r="N127" s="2" t="s">
        <v>261</v>
      </c>
      <c r="O127" s="2"/>
    </row>
    <row r="128" spans="1:15" x14ac:dyDescent="0.25">
      <c r="A128" s="2" t="s">
        <v>189</v>
      </c>
      <c r="B128" s="2" t="s">
        <v>190</v>
      </c>
      <c r="C128" s="2" t="s">
        <v>191</v>
      </c>
      <c r="D128" s="2">
        <f>40/70</f>
        <v>0.5714285714285714</v>
      </c>
      <c r="E128" s="2" t="s">
        <v>30</v>
      </c>
      <c r="F128" s="2">
        <f>2.86/1000</f>
        <v>2.8599999999999997E-3</v>
      </c>
      <c r="G128" s="2" t="s">
        <v>31</v>
      </c>
      <c r="H128" s="2" t="s">
        <v>120</v>
      </c>
      <c r="I128" s="2">
        <v>12</v>
      </c>
      <c r="J128" s="2" t="s">
        <v>90</v>
      </c>
      <c r="K128" s="2" t="s">
        <v>262</v>
      </c>
      <c r="L128" s="2"/>
      <c r="M128" s="2"/>
      <c r="N128" s="2" t="s">
        <v>130</v>
      </c>
      <c r="O128" s="2"/>
    </row>
    <row r="129" spans="1:15" x14ac:dyDescent="0.25">
      <c r="A129" s="2" t="s">
        <v>189</v>
      </c>
      <c r="B129" s="2" t="s">
        <v>190</v>
      </c>
      <c r="C129" s="2" t="s">
        <v>191</v>
      </c>
      <c r="D129" s="2">
        <f>80/66.5</f>
        <v>1.2030075187969924</v>
      </c>
      <c r="E129" s="2" t="s">
        <v>30</v>
      </c>
      <c r="F129" s="2">
        <v>7.0000000000000001E-3</v>
      </c>
      <c r="G129" s="2" t="s">
        <v>31</v>
      </c>
      <c r="H129" s="2" t="s">
        <v>120</v>
      </c>
      <c r="I129" s="2">
        <v>10</v>
      </c>
      <c r="J129" s="2" t="s">
        <v>100</v>
      </c>
      <c r="K129" s="2" t="s">
        <v>263</v>
      </c>
      <c r="L129" s="2"/>
      <c r="M129" s="2"/>
      <c r="N129" s="2" t="s">
        <v>264</v>
      </c>
      <c r="O129" s="2"/>
    </row>
    <row r="130" spans="1:15" x14ac:dyDescent="0.25">
      <c r="A130" s="2" t="s">
        <v>189</v>
      </c>
      <c r="B130" s="2" t="s">
        <v>190</v>
      </c>
      <c r="C130" s="2" t="s">
        <v>191</v>
      </c>
      <c r="D130" s="2">
        <f>40/((55+90)/2)</f>
        <v>0.55172413793103448</v>
      </c>
      <c r="E130" s="2" t="s">
        <v>30</v>
      </c>
      <c r="F130" s="2">
        <f>0.004</f>
        <v>4.0000000000000001E-3</v>
      </c>
      <c r="G130" s="2" t="s">
        <v>31</v>
      </c>
      <c r="H130" s="2" t="s">
        <v>120</v>
      </c>
      <c r="I130" s="2">
        <v>10</v>
      </c>
      <c r="J130" s="2" t="s">
        <v>90</v>
      </c>
      <c r="K130" s="2" t="s">
        <v>265</v>
      </c>
      <c r="L130" s="2"/>
      <c r="M130" s="2"/>
      <c r="N130" s="2" t="s">
        <v>266</v>
      </c>
      <c r="O130" s="2"/>
    </row>
    <row r="131" spans="1:15" x14ac:dyDescent="0.25">
      <c r="A131" s="2" t="s">
        <v>189</v>
      </c>
      <c r="B131" s="2" t="s">
        <v>190</v>
      </c>
      <c r="C131" s="2" t="s">
        <v>191</v>
      </c>
      <c r="D131" s="2">
        <f>40/64</f>
        <v>0.625</v>
      </c>
      <c r="E131" s="2" t="s">
        <v>30</v>
      </c>
      <c r="F131" s="2">
        <f>2.68/1000</f>
        <v>2.6800000000000001E-3</v>
      </c>
      <c r="G131" s="2" t="s">
        <v>31</v>
      </c>
      <c r="H131" s="2" t="s">
        <v>120</v>
      </c>
      <c r="I131" s="2">
        <v>11</v>
      </c>
      <c r="J131" s="2" t="s">
        <v>90</v>
      </c>
      <c r="K131" s="2" t="s">
        <v>267</v>
      </c>
      <c r="L131" s="2"/>
      <c r="M131" s="2"/>
      <c r="N131" s="2" t="s">
        <v>268</v>
      </c>
    </row>
    <row r="132" spans="1:15" x14ac:dyDescent="0.25">
      <c r="A132" s="2" t="s">
        <v>189</v>
      </c>
      <c r="B132" s="2" t="s">
        <v>190</v>
      </c>
      <c r="C132" s="2" t="s">
        <v>191</v>
      </c>
      <c r="D132" s="2">
        <f>40/66</f>
        <v>0.60606060606060608</v>
      </c>
      <c r="E132" s="2" t="s">
        <v>30</v>
      </c>
      <c r="F132" s="2">
        <f>9.77/1000</f>
        <v>9.7699999999999992E-3</v>
      </c>
      <c r="G132" s="2" t="s">
        <v>31</v>
      </c>
      <c r="H132" s="2" t="s">
        <v>120</v>
      </c>
      <c r="I132" s="2">
        <v>40</v>
      </c>
      <c r="J132" s="2" t="s">
        <v>90</v>
      </c>
      <c r="K132" s="2" t="s">
        <v>270</v>
      </c>
      <c r="L132" s="2"/>
      <c r="M132" s="2"/>
      <c r="N132" s="2" t="s">
        <v>269</v>
      </c>
      <c r="O132" s="2"/>
    </row>
    <row r="133" spans="1:15" x14ac:dyDescent="0.25">
      <c r="A133" s="2" t="s">
        <v>189</v>
      </c>
      <c r="B133" s="2" t="s">
        <v>190</v>
      </c>
      <c r="C133" s="2" t="s">
        <v>191</v>
      </c>
      <c r="D133" s="2">
        <f>80/70</f>
        <v>1.1428571428571428</v>
      </c>
      <c r="E133" s="2" t="s">
        <v>30</v>
      </c>
      <c r="F133" s="2">
        <f>6.07/1000</f>
        <v>6.0699999999999999E-3</v>
      </c>
      <c r="G133" s="2" t="s">
        <v>31</v>
      </c>
      <c r="H133" s="2" t="s">
        <v>120</v>
      </c>
      <c r="I133" s="2">
        <v>36</v>
      </c>
      <c r="J133" s="2" t="s">
        <v>90</v>
      </c>
      <c r="K133" s="2" t="s">
        <v>271</v>
      </c>
      <c r="L133" s="2"/>
      <c r="M133" s="2"/>
      <c r="N133" s="2" t="s">
        <v>274</v>
      </c>
      <c r="O133" s="2"/>
    </row>
    <row r="134" spans="1:15" x14ac:dyDescent="0.25">
      <c r="A134" s="2" t="s">
        <v>189</v>
      </c>
      <c r="B134" s="2" t="s">
        <v>190</v>
      </c>
      <c r="C134" s="2" t="s">
        <v>272</v>
      </c>
      <c r="D134" s="2">
        <f>40/70</f>
        <v>0.5714285714285714</v>
      </c>
      <c r="E134" s="2" t="s">
        <v>30</v>
      </c>
      <c r="F134" s="2">
        <f>3.21/1000</f>
        <v>3.2100000000000002E-3</v>
      </c>
      <c r="G134" s="2" t="s">
        <v>31</v>
      </c>
      <c r="H134" s="2" t="s">
        <v>120</v>
      </c>
      <c r="I134" s="2">
        <v>15</v>
      </c>
      <c r="J134" s="2" t="s">
        <v>90</v>
      </c>
      <c r="K134" s="2" t="s">
        <v>275</v>
      </c>
      <c r="L134" s="2"/>
      <c r="M134" s="2"/>
      <c r="N134" s="2" t="s">
        <v>276</v>
      </c>
    </row>
    <row r="135" spans="1:15" x14ac:dyDescent="0.25">
      <c r="A135" s="2" t="s">
        <v>189</v>
      </c>
      <c r="B135" s="2" t="s">
        <v>190</v>
      </c>
      <c r="C135" s="2" t="s">
        <v>273</v>
      </c>
      <c r="D135" s="2">
        <f>20/70</f>
        <v>0.2857142857142857</v>
      </c>
      <c r="E135" s="2" t="s">
        <v>30</v>
      </c>
      <c r="F135" s="2">
        <f>AVERAGE(3.9,4.56)/1000</f>
        <v>4.2299999999999994E-3</v>
      </c>
      <c r="G135" s="2" t="s">
        <v>31</v>
      </c>
      <c r="H135" s="2" t="s">
        <v>120</v>
      </c>
      <c r="I135" s="2">
        <v>12</v>
      </c>
      <c r="J135" s="2" t="s">
        <v>90</v>
      </c>
      <c r="K135" s="2" t="s">
        <v>277</v>
      </c>
      <c r="L135" s="2"/>
      <c r="M135" s="2"/>
      <c r="N135" s="2" t="s">
        <v>278</v>
      </c>
    </row>
    <row r="136" spans="1:15" x14ac:dyDescent="0.25">
      <c r="A136" t="s">
        <v>2</v>
      </c>
      <c r="B136" t="s">
        <v>25</v>
      </c>
      <c r="C136" t="s">
        <v>286</v>
      </c>
      <c r="D136">
        <f>45/70</f>
        <v>0.6428571428571429</v>
      </c>
      <c r="E136" t="s">
        <v>30</v>
      </c>
      <c r="F136">
        <v>1.482</v>
      </c>
      <c r="G136" t="s">
        <v>31</v>
      </c>
      <c r="H136" t="s">
        <v>120</v>
      </c>
      <c r="I136">
        <v>24</v>
      </c>
      <c r="J136" t="s">
        <v>100</v>
      </c>
      <c r="K136" t="s">
        <v>105</v>
      </c>
    </row>
    <row r="137" spans="1:15" x14ac:dyDescent="0.25">
      <c r="A137" t="s">
        <v>2</v>
      </c>
      <c r="B137" t="s">
        <v>25</v>
      </c>
      <c r="C137" t="s">
        <v>286</v>
      </c>
      <c r="D137">
        <f>45/70</f>
        <v>0.6428571428571429</v>
      </c>
      <c r="E137" t="s">
        <v>30</v>
      </c>
      <c r="F137">
        <v>1.4910000000000001</v>
      </c>
      <c r="G137" t="s">
        <v>31</v>
      </c>
      <c r="H137" t="s">
        <v>120</v>
      </c>
      <c r="I137">
        <v>24</v>
      </c>
      <c r="J137" t="s">
        <v>100</v>
      </c>
      <c r="K137" t="s">
        <v>105</v>
      </c>
    </row>
    <row r="138" spans="1:15" x14ac:dyDescent="0.25">
      <c r="A138" t="s">
        <v>2</v>
      </c>
      <c r="B138" t="s">
        <v>25</v>
      </c>
      <c r="C138" t="s">
        <v>286</v>
      </c>
      <c r="D138">
        <f>45/70</f>
        <v>0.6428571428571429</v>
      </c>
      <c r="E138" t="s">
        <v>30</v>
      </c>
      <c r="F138">
        <v>1.552</v>
      </c>
      <c r="G138" t="s">
        <v>31</v>
      </c>
      <c r="H138" t="s">
        <v>120</v>
      </c>
      <c r="I138">
        <v>23</v>
      </c>
      <c r="J138" t="s">
        <v>100</v>
      </c>
      <c r="K138" t="s">
        <v>105</v>
      </c>
    </row>
    <row r="139" spans="1:15" x14ac:dyDescent="0.25">
      <c r="A139" t="s">
        <v>2</v>
      </c>
      <c r="B139" t="s">
        <v>25</v>
      </c>
      <c r="C139" t="s">
        <v>286</v>
      </c>
      <c r="D139">
        <f>14/57.4</f>
        <v>0.24390243902439024</v>
      </c>
      <c r="E139" t="s">
        <v>30</v>
      </c>
      <c r="F139">
        <v>0.34470000000000001</v>
      </c>
      <c r="G139" t="s">
        <v>31</v>
      </c>
      <c r="H139" t="s">
        <v>120</v>
      </c>
      <c r="I139">
        <v>10</v>
      </c>
      <c r="J139" t="s">
        <v>89</v>
      </c>
      <c r="K139" t="s">
        <v>106</v>
      </c>
    </row>
    <row r="140" spans="1:15" x14ac:dyDescent="0.25">
      <c r="A140" t="s">
        <v>2</v>
      </c>
      <c r="B140" t="s">
        <v>25</v>
      </c>
      <c r="C140" t="s">
        <v>286</v>
      </c>
      <c r="D140">
        <f>30/59.3</f>
        <v>0.50590219224283306</v>
      </c>
      <c r="E140" t="s">
        <v>30</v>
      </c>
      <c r="F140">
        <v>1.5980000000000001</v>
      </c>
      <c r="G140" t="s">
        <v>31</v>
      </c>
      <c r="H140" t="s">
        <v>120</v>
      </c>
      <c r="I140">
        <v>24</v>
      </c>
      <c r="J140" t="s">
        <v>90</v>
      </c>
      <c r="K140" t="s">
        <v>107</v>
      </c>
    </row>
    <row r="141" spans="1:15" x14ac:dyDescent="0.25">
      <c r="A141" t="s">
        <v>2</v>
      </c>
      <c r="B141" t="s">
        <v>25</v>
      </c>
      <c r="C141" t="s">
        <v>286</v>
      </c>
      <c r="D141">
        <f>45/81.2</f>
        <v>0.55418719211822653</v>
      </c>
      <c r="E141" t="s">
        <v>30</v>
      </c>
      <c r="F141">
        <v>1.175</v>
      </c>
      <c r="G141" t="s">
        <v>31</v>
      </c>
      <c r="H141" t="s">
        <v>120</v>
      </c>
      <c r="I141">
        <v>30</v>
      </c>
      <c r="J141" t="s">
        <v>90</v>
      </c>
      <c r="K141" t="s">
        <v>108</v>
      </c>
    </row>
    <row r="142" spans="1:15" x14ac:dyDescent="0.25">
      <c r="A142" t="s">
        <v>2</v>
      </c>
      <c r="B142" t="s">
        <v>25</v>
      </c>
      <c r="C142" t="s">
        <v>286</v>
      </c>
      <c r="D142">
        <f>30/70</f>
        <v>0.42857142857142855</v>
      </c>
      <c r="E142" t="s">
        <v>30</v>
      </c>
      <c r="F142">
        <v>0.61899999999999999</v>
      </c>
      <c r="G142" t="s">
        <v>31</v>
      </c>
      <c r="H142" t="s">
        <v>120</v>
      </c>
      <c r="I142">
        <v>33</v>
      </c>
      <c r="J142" t="s">
        <v>90</v>
      </c>
      <c r="K142" t="s">
        <v>109</v>
      </c>
      <c r="N142" t="s">
        <v>117</v>
      </c>
    </row>
    <row r="143" spans="1:15" x14ac:dyDescent="0.25">
      <c r="A143" t="s">
        <v>2</v>
      </c>
      <c r="B143" t="s">
        <v>25</v>
      </c>
      <c r="C143" t="s">
        <v>286</v>
      </c>
      <c r="D143">
        <f>45/70</f>
        <v>0.6428571428571429</v>
      </c>
      <c r="E143" t="s">
        <v>30</v>
      </c>
      <c r="F143">
        <v>1.3979999999999999</v>
      </c>
      <c r="G143" t="s">
        <v>31</v>
      </c>
      <c r="H143" t="s">
        <v>120</v>
      </c>
      <c r="I143">
        <v>24</v>
      </c>
      <c r="J143" t="s">
        <v>90</v>
      </c>
      <c r="K143" t="s">
        <v>110</v>
      </c>
      <c r="N143" t="s">
        <v>118</v>
      </c>
    </row>
    <row r="144" spans="1:15" x14ac:dyDescent="0.25">
      <c r="A144" t="s">
        <v>2</v>
      </c>
      <c r="B144" t="s">
        <v>25</v>
      </c>
      <c r="C144" t="s">
        <v>286</v>
      </c>
      <c r="D144">
        <f>30/63</f>
        <v>0.47619047619047616</v>
      </c>
      <c r="E144" t="s">
        <v>30</v>
      </c>
      <c r="F144">
        <v>1.117</v>
      </c>
      <c r="G144" t="s">
        <v>31</v>
      </c>
      <c r="H144" t="s">
        <v>120</v>
      </c>
      <c r="I144">
        <v>24</v>
      </c>
      <c r="J144" t="s">
        <v>90</v>
      </c>
      <c r="K144" t="s">
        <v>111</v>
      </c>
    </row>
    <row r="145" spans="1:15" x14ac:dyDescent="0.25">
      <c r="A145" t="s">
        <v>2</v>
      </c>
      <c r="B145" t="s">
        <v>25</v>
      </c>
      <c r="C145" t="s">
        <v>286</v>
      </c>
      <c r="D145">
        <f>15/70.3</f>
        <v>0.21337126600284495</v>
      </c>
      <c r="E145" t="s">
        <v>30</v>
      </c>
      <c r="F145">
        <v>0.76700000000000002</v>
      </c>
      <c r="G145" t="s">
        <v>31</v>
      </c>
      <c r="H145" t="s">
        <v>120</v>
      </c>
      <c r="I145">
        <v>27</v>
      </c>
      <c r="J145" t="s">
        <v>90</v>
      </c>
      <c r="K145" t="s">
        <v>112</v>
      </c>
    </row>
    <row r="146" spans="1:15" x14ac:dyDescent="0.25">
      <c r="A146" t="s">
        <v>2</v>
      </c>
      <c r="B146" t="s">
        <v>25</v>
      </c>
      <c r="C146" t="s">
        <v>286</v>
      </c>
      <c r="D146">
        <f>30/66.24</f>
        <v>0.45289855072463769</v>
      </c>
      <c r="E146" t="s">
        <v>30</v>
      </c>
      <c r="F146">
        <v>1.1399999999999999</v>
      </c>
      <c r="G146" t="s">
        <v>31</v>
      </c>
      <c r="H146" t="s">
        <v>120</v>
      </c>
      <c r="I146">
        <v>24</v>
      </c>
      <c r="J146" t="s">
        <v>90</v>
      </c>
      <c r="K146" t="s">
        <v>113</v>
      </c>
    </row>
    <row r="147" spans="1:15" x14ac:dyDescent="0.25">
      <c r="A147" t="s">
        <v>2</v>
      </c>
      <c r="B147" t="s">
        <v>25</v>
      </c>
      <c r="C147" t="s">
        <v>286</v>
      </c>
      <c r="D147">
        <f>15/((55+85)/2)</f>
        <v>0.21428571428571427</v>
      </c>
      <c r="E147" t="s">
        <v>30</v>
      </c>
      <c r="F147">
        <v>0.51800000000000002</v>
      </c>
      <c r="G147" t="s">
        <v>31</v>
      </c>
      <c r="H147" t="s">
        <v>120</v>
      </c>
      <c r="I147">
        <v>12</v>
      </c>
      <c r="J147" t="s">
        <v>90</v>
      </c>
      <c r="K147" t="s">
        <v>114</v>
      </c>
    </row>
    <row r="148" spans="1:15" x14ac:dyDescent="0.25">
      <c r="A148" t="s">
        <v>2</v>
      </c>
      <c r="B148" t="s">
        <v>25</v>
      </c>
      <c r="C148" t="s">
        <v>286</v>
      </c>
      <c r="D148">
        <f>30/((57+79)/2)</f>
        <v>0.44117647058823528</v>
      </c>
      <c r="E148" t="s">
        <v>30</v>
      </c>
      <c r="F148">
        <v>0.93200000000000005</v>
      </c>
      <c r="G148" t="s">
        <v>31</v>
      </c>
      <c r="H148" t="s">
        <v>120</v>
      </c>
      <c r="I148">
        <v>10</v>
      </c>
      <c r="J148" t="s">
        <v>90</v>
      </c>
      <c r="K148" t="s">
        <v>115</v>
      </c>
    </row>
    <row r="149" spans="1:15" x14ac:dyDescent="0.25">
      <c r="A149" t="s">
        <v>2</v>
      </c>
      <c r="B149" t="s">
        <v>25</v>
      </c>
      <c r="C149" t="s">
        <v>286</v>
      </c>
      <c r="D149">
        <f>45/70</f>
        <v>0.6428571428571429</v>
      </c>
      <c r="E149" t="s">
        <v>30</v>
      </c>
      <c r="H149" s="2" t="s">
        <v>120</v>
      </c>
      <c r="J149" t="s">
        <v>90</v>
      </c>
      <c r="K149" t="s">
        <v>314</v>
      </c>
    </row>
    <row r="150" spans="1:15" x14ac:dyDescent="0.25">
      <c r="A150" t="s">
        <v>10</v>
      </c>
      <c r="B150" t="s">
        <v>19</v>
      </c>
      <c r="C150" t="s">
        <v>79</v>
      </c>
      <c r="D150">
        <f>200/75.2</f>
        <v>2.6595744680851063</v>
      </c>
      <c r="E150" t="s">
        <v>30</v>
      </c>
      <c r="F150">
        <f>2259/1000</f>
        <v>2.2589999999999999</v>
      </c>
      <c r="G150" t="s">
        <v>31</v>
      </c>
      <c r="H150" t="s">
        <v>120</v>
      </c>
      <c r="I150">
        <v>11</v>
      </c>
      <c r="J150" t="s">
        <v>90</v>
      </c>
      <c r="K150" t="s">
        <v>198</v>
      </c>
      <c r="N150" t="s">
        <v>199</v>
      </c>
    </row>
    <row r="151" spans="1:15" x14ac:dyDescent="0.25">
      <c r="A151" t="s">
        <v>10</v>
      </c>
      <c r="B151" t="s">
        <v>19</v>
      </c>
      <c r="C151" t="s">
        <v>79</v>
      </c>
      <c r="D151">
        <f>600/79.4</f>
        <v>7.5566750629722916</v>
      </c>
      <c r="E151" t="s">
        <v>30</v>
      </c>
      <c r="F151">
        <v>13.12</v>
      </c>
      <c r="G151" t="s">
        <v>31</v>
      </c>
      <c r="H151" t="s">
        <v>120</v>
      </c>
      <c r="I151">
        <v>16</v>
      </c>
      <c r="J151" t="s">
        <v>100</v>
      </c>
      <c r="K151" t="s">
        <v>200</v>
      </c>
      <c r="N151" t="s">
        <v>203</v>
      </c>
    </row>
    <row r="152" spans="1:15" x14ac:dyDescent="0.25">
      <c r="A152" t="s">
        <v>10</v>
      </c>
      <c r="B152" t="s">
        <v>19</v>
      </c>
      <c r="C152" t="s">
        <v>79</v>
      </c>
      <c r="D152">
        <f>100/70</f>
        <v>1.4285714285714286</v>
      </c>
      <c r="E152" t="s">
        <v>30</v>
      </c>
      <c r="F152">
        <f>815*720.9*0.000001</f>
        <v>0.58753349999999993</v>
      </c>
      <c r="G152" t="s">
        <v>31</v>
      </c>
      <c r="H152" t="s">
        <v>120</v>
      </c>
      <c r="I152">
        <v>5</v>
      </c>
      <c r="J152" t="s">
        <v>90</v>
      </c>
      <c r="K152" t="s">
        <v>201</v>
      </c>
      <c r="N152" t="s">
        <v>202</v>
      </c>
    </row>
    <row r="153" spans="1:15" s="2" customFormat="1" x14ac:dyDescent="0.25">
      <c r="A153" t="s">
        <v>10</v>
      </c>
      <c r="B153" t="s">
        <v>19</v>
      </c>
      <c r="C153" t="s">
        <v>79</v>
      </c>
      <c r="D153">
        <f>1200/70</f>
        <v>17.142857142857142</v>
      </c>
      <c r="E153" t="s">
        <v>30</v>
      </c>
      <c r="F153"/>
      <c r="G153"/>
      <c r="H153" s="2" t="s">
        <v>120</v>
      </c>
      <c r="I153"/>
      <c r="J153" t="s">
        <v>90</v>
      </c>
      <c r="K153" t="s">
        <v>314</v>
      </c>
      <c r="L153"/>
      <c r="M153"/>
      <c r="N153"/>
    </row>
    <row r="154" spans="1:15" x14ac:dyDescent="0.25">
      <c r="A154" t="s">
        <v>3</v>
      </c>
      <c r="B154" t="s">
        <v>26</v>
      </c>
      <c r="C154" t="s">
        <v>221</v>
      </c>
      <c r="D154">
        <f>8/78.5</f>
        <v>0.10191082802547771</v>
      </c>
      <c r="E154" t="s">
        <v>30</v>
      </c>
      <c r="F154">
        <v>0.67200000000000004</v>
      </c>
      <c r="G154" t="s">
        <v>31</v>
      </c>
      <c r="H154" t="s">
        <v>120</v>
      </c>
      <c r="I154">
        <v>28</v>
      </c>
      <c r="J154" t="s">
        <v>90</v>
      </c>
      <c r="K154" t="s">
        <v>123</v>
      </c>
      <c r="O154" s="2"/>
    </row>
    <row r="155" spans="1:15" s="2" customFormat="1" x14ac:dyDescent="0.25">
      <c r="A155" t="s">
        <v>3</v>
      </c>
      <c r="B155" t="s">
        <v>26</v>
      </c>
      <c r="C155" t="s">
        <v>221</v>
      </c>
      <c r="D155">
        <f>8/75.3</f>
        <v>0.10624169986719788</v>
      </c>
      <c r="E155" t="s">
        <v>30</v>
      </c>
      <c r="F155">
        <v>0.46100000000000002</v>
      </c>
      <c r="G155" t="s">
        <v>31</v>
      </c>
      <c r="H155" t="s">
        <v>120</v>
      </c>
      <c r="I155">
        <v>12</v>
      </c>
      <c r="J155" t="s">
        <v>90</v>
      </c>
      <c r="K155" t="s">
        <v>124</v>
      </c>
      <c r="L155"/>
      <c r="M155"/>
      <c r="N155"/>
    </row>
    <row r="156" spans="1:15" s="2" customFormat="1" x14ac:dyDescent="0.25">
      <c r="A156" t="s">
        <v>3</v>
      </c>
      <c r="B156" t="s">
        <v>26</v>
      </c>
      <c r="C156" t="s">
        <v>221</v>
      </c>
      <c r="D156">
        <f>4/(AVERAGE(64.1,77.5,65.4,66.9,68.3))</f>
        <v>5.8445353594389245E-2</v>
      </c>
      <c r="E156" t="s">
        <v>30</v>
      </c>
      <c r="F156">
        <f>AVERAGE(3841,260.2,260.2,345,3,406.2)/1000</f>
        <v>0.85259999999999991</v>
      </c>
      <c r="G156" t="s">
        <v>31</v>
      </c>
      <c r="H156" t="s">
        <v>120</v>
      </c>
      <c r="I156">
        <f>12+25+32+8+12</f>
        <v>89</v>
      </c>
      <c r="J156" t="s">
        <v>90</v>
      </c>
      <c r="K156" t="s">
        <v>126</v>
      </c>
      <c r="L156"/>
      <c r="M156"/>
      <c r="N156" t="s">
        <v>158</v>
      </c>
    </row>
    <row r="157" spans="1:15" s="2" customFormat="1" x14ac:dyDescent="0.25">
      <c r="A157" t="s">
        <v>3</v>
      </c>
      <c r="B157" t="s">
        <v>26</v>
      </c>
      <c r="C157" t="s">
        <v>221</v>
      </c>
      <c r="D157">
        <f>8/64</f>
        <v>0.125</v>
      </c>
      <c r="E157" t="s">
        <v>30</v>
      </c>
      <c r="F157">
        <v>0.72399999999999998</v>
      </c>
      <c r="G157" t="s">
        <v>31</v>
      </c>
      <c r="H157" t="s">
        <v>120</v>
      </c>
      <c r="I157">
        <v>12</v>
      </c>
      <c r="J157" t="s">
        <v>90</v>
      </c>
      <c r="K157" t="s">
        <v>126</v>
      </c>
      <c r="L157"/>
      <c r="M157"/>
      <c r="N157" t="s">
        <v>125</v>
      </c>
      <c r="O157"/>
    </row>
    <row r="158" spans="1:15" s="2" customFormat="1" x14ac:dyDescent="0.25">
      <c r="A158" t="s">
        <v>3</v>
      </c>
      <c r="B158" t="s">
        <v>26</v>
      </c>
      <c r="C158" t="s">
        <v>221</v>
      </c>
      <c r="D158">
        <f>8/80</f>
        <v>0.1</v>
      </c>
      <c r="E158" t="s">
        <v>30</v>
      </c>
      <c r="F158">
        <v>0.60299999999999998</v>
      </c>
      <c r="G158" t="s">
        <v>31</v>
      </c>
      <c r="H158" t="s">
        <v>120</v>
      </c>
      <c r="I158">
        <v>4</v>
      </c>
      <c r="J158" t="s">
        <v>90</v>
      </c>
      <c r="K158" t="s">
        <v>127</v>
      </c>
      <c r="L158"/>
      <c r="M158"/>
      <c r="N158"/>
      <c r="O158"/>
    </row>
    <row r="159" spans="1:15" s="2" customFormat="1" x14ac:dyDescent="0.25">
      <c r="A159" s="2" t="s">
        <v>3</v>
      </c>
      <c r="B159" s="2" t="s">
        <v>26</v>
      </c>
      <c r="C159" s="2" t="s">
        <v>221</v>
      </c>
      <c r="D159" s="2">
        <f>2/74.7</f>
        <v>2.677376171352075E-2</v>
      </c>
      <c r="E159" s="2" t="s">
        <v>30</v>
      </c>
      <c r="F159" s="2">
        <f>(121+152)/2/1000</f>
        <v>0.13650000000000001</v>
      </c>
      <c r="G159" s="2" t="s">
        <v>31</v>
      </c>
      <c r="H159" s="2" t="s">
        <v>120</v>
      </c>
      <c r="I159" s="2">
        <v>13</v>
      </c>
      <c r="J159" s="2" t="s">
        <v>90</v>
      </c>
      <c r="K159" s="2" t="s">
        <v>128</v>
      </c>
      <c r="N159" s="2" t="s">
        <v>129</v>
      </c>
    </row>
    <row r="160" spans="1:15" s="2" customFormat="1" x14ac:dyDescent="0.25">
      <c r="A160" s="2" t="s">
        <v>3</v>
      </c>
      <c r="B160" s="2" t="s">
        <v>26</v>
      </c>
      <c r="C160" s="2" t="s">
        <v>221</v>
      </c>
      <c r="D160" s="2">
        <f>8/70</f>
        <v>0.11428571428571428</v>
      </c>
      <c r="E160" s="2" t="s">
        <v>30</v>
      </c>
      <c r="F160" s="2">
        <v>0.502</v>
      </c>
      <c r="G160" s="2" t="s">
        <v>31</v>
      </c>
      <c r="H160" s="2" t="s">
        <v>120</v>
      </c>
      <c r="I160" s="2">
        <v>30</v>
      </c>
      <c r="J160" s="2" t="s">
        <v>90</v>
      </c>
      <c r="K160" s="2" t="s">
        <v>131</v>
      </c>
      <c r="N160" s="2" t="s">
        <v>130</v>
      </c>
    </row>
    <row r="161" spans="1:15" s="2" customFormat="1" x14ac:dyDescent="0.25">
      <c r="A161" s="2" t="s">
        <v>3</v>
      </c>
      <c r="B161" s="2" t="s">
        <v>26</v>
      </c>
      <c r="C161" s="2" t="s">
        <v>221</v>
      </c>
      <c r="D161" s="2">
        <f>4/67.5</f>
        <v>5.9259259259259262E-2</v>
      </c>
      <c r="E161" s="2" t="s">
        <v>30</v>
      </c>
      <c r="F161" s="2">
        <v>0.33660000000000001</v>
      </c>
      <c r="G161" s="2" t="s">
        <v>31</v>
      </c>
      <c r="H161" s="2" t="s">
        <v>120</v>
      </c>
      <c r="I161" s="2">
        <v>10</v>
      </c>
      <c r="J161" s="2" t="s">
        <v>90</v>
      </c>
      <c r="K161" s="2" t="s">
        <v>132</v>
      </c>
      <c r="N161" s="2" t="s">
        <v>133</v>
      </c>
    </row>
    <row r="162" spans="1:15" s="2" customFormat="1" x14ac:dyDescent="0.25">
      <c r="A162" s="2" t="s">
        <v>3</v>
      </c>
      <c r="B162" s="2" t="s">
        <v>26</v>
      </c>
      <c r="C162" s="2" t="s">
        <v>221</v>
      </c>
      <c r="D162" s="2">
        <f>8/81.4</f>
        <v>9.8280098280098274E-2</v>
      </c>
      <c r="E162" s="2" t="s">
        <v>30</v>
      </c>
      <c r="F162" s="2">
        <v>0.65500000000000003</v>
      </c>
      <c r="G162" s="2" t="s">
        <v>31</v>
      </c>
      <c r="H162" s="2" t="s">
        <v>120</v>
      </c>
      <c r="I162" s="2">
        <v>18</v>
      </c>
      <c r="J162" s="2" t="s">
        <v>90</v>
      </c>
      <c r="K162" s="2" t="s">
        <v>134</v>
      </c>
    </row>
    <row r="163" spans="1:15" s="2" customFormat="1" x14ac:dyDescent="0.25">
      <c r="A163" s="2" t="s">
        <v>3</v>
      </c>
      <c r="B163" s="2" t="s">
        <v>26</v>
      </c>
      <c r="C163" s="2" t="s">
        <v>221</v>
      </c>
      <c r="D163" s="2">
        <f>2/77</f>
        <v>2.5974025974025976E-2</v>
      </c>
      <c r="E163" s="2" t="s">
        <v>30</v>
      </c>
      <c r="F163" s="2">
        <v>0.31900000000000001</v>
      </c>
      <c r="G163" s="2" t="s">
        <v>31</v>
      </c>
      <c r="H163" s="2" t="s">
        <v>120</v>
      </c>
      <c r="I163" s="2">
        <v>12</v>
      </c>
      <c r="J163" s="2" t="s">
        <v>90</v>
      </c>
      <c r="K163" s="2" t="s">
        <v>135</v>
      </c>
      <c r="O163" s="2" t="s">
        <v>185</v>
      </c>
    </row>
    <row r="164" spans="1:15" s="2" customFormat="1" x14ac:dyDescent="0.25">
      <c r="A164" s="2" t="s">
        <v>3</v>
      </c>
      <c r="B164" s="2" t="s">
        <v>26</v>
      </c>
      <c r="C164" s="2" t="s">
        <v>221</v>
      </c>
      <c r="D164" s="2">
        <f>8/83.1</f>
        <v>9.6269554753309269E-2</v>
      </c>
      <c r="E164" s="2" t="s">
        <v>30</v>
      </c>
      <c r="F164" s="2">
        <v>0.42799999999999999</v>
      </c>
      <c r="G164" s="2" t="s">
        <v>31</v>
      </c>
      <c r="H164" s="2" t="s">
        <v>120</v>
      </c>
      <c r="I164" s="2">
        <v>16</v>
      </c>
      <c r="J164" s="2" t="s">
        <v>90</v>
      </c>
      <c r="K164" s="2" t="s">
        <v>136</v>
      </c>
    </row>
    <row r="165" spans="1:15" s="2" customFormat="1" x14ac:dyDescent="0.25">
      <c r="A165" s="2" t="s">
        <v>3</v>
      </c>
      <c r="B165" s="2" t="s">
        <v>26</v>
      </c>
      <c r="C165" s="2" t="s">
        <v>221</v>
      </c>
      <c r="D165" s="2">
        <f>4/70</f>
        <v>5.7142857142857141E-2</v>
      </c>
      <c r="E165" s="2" t="s">
        <v>30</v>
      </c>
      <c r="F165" s="2">
        <v>0.3276</v>
      </c>
      <c r="G165" s="2" t="s">
        <v>31</v>
      </c>
      <c r="H165" s="2" t="s">
        <v>120</v>
      </c>
      <c r="I165" s="2">
        <v>36</v>
      </c>
      <c r="J165" s="2" t="s">
        <v>137</v>
      </c>
      <c r="K165" s="2" t="s">
        <v>138</v>
      </c>
    </row>
    <row r="166" spans="1:15" s="2" customFormat="1" x14ac:dyDescent="0.25">
      <c r="A166" s="2" t="s">
        <v>3</v>
      </c>
      <c r="B166" s="2" t="s">
        <v>26</v>
      </c>
      <c r="C166" s="2" t="s">
        <v>221</v>
      </c>
      <c r="D166" s="2">
        <f>4/61.5</f>
        <v>6.5040650406504072E-2</v>
      </c>
      <c r="E166" s="2" t="s">
        <v>30</v>
      </c>
      <c r="F166" s="2">
        <v>0.28499999999999998</v>
      </c>
      <c r="G166" s="2" t="s">
        <v>31</v>
      </c>
      <c r="H166" s="2" t="s">
        <v>120</v>
      </c>
      <c r="I166" s="2">
        <v>10</v>
      </c>
      <c r="J166" s="2" t="s">
        <v>90</v>
      </c>
      <c r="K166" s="2" t="s">
        <v>139</v>
      </c>
      <c r="N166" s="2" t="s">
        <v>140</v>
      </c>
    </row>
    <row r="167" spans="1:15" s="2" customFormat="1" x14ac:dyDescent="0.25">
      <c r="A167" s="2" t="s">
        <v>3</v>
      </c>
      <c r="B167" s="2" t="s">
        <v>26</v>
      </c>
      <c r="C167" s="2" t="s">
        <v>221</v>
      </c>
      <c r="D167" s="2">
        <v>5.7556935817805382E-2</v>
      </c>
      <c r="E167" s="2" t="s">
        <v>30</v>
      </c>
      <c r="F167" s="2">
        <f>(0.339+0.335)/2</f>
        <v>0.33700000000000002</v>
      </c>
      <c r="G167" s="2" t="s">
        <v>31</v>
      </c>
      <c r="H167" s="2" t="s">
        <v>120</v>
      </c>
      <c r="I167" s="2">
        <v>20</v>
      </c>
      <c r="J167" s="2" t="s">
        <v>90</v>
      </c>
      <c r="K167" s="2" t="s">
        <v>141</v>
      </c>
      <c r="N167" s="2" t="s">
        <v>161</v>
      </c>
    </row>
    <row r="168" spans="1:15" s="2" customFormat="1" x14ac:dyDescent="0.25">
      <c r="A168" t="s">
        <v>3</v>
      </c>
      <c r="B168" t="s">
        <v>26</v>
      </c>
      <c r="C168" t="s">
        <v>221</v>
      </c>
      <c r="D168">
        <f>8/60</f>
        <v>0.13333333333333333</v>
      </c>
      <c r="E168" t="s">
        <v>30</v>
      </c>
      <c r="F168">
        <v>0.66469999999999996</v>
      </c>
      <c r="G168" t="s">
        <v>31</v>
      </c>
      <c r="H168" t="s">
        <v>120</v>
      </c>
      <c r="I168">
        <v>9</v>
      </c>
      <c r="J168" t="s">
        <v>90</v>
      </c>
      <c r="K168" t="s">
        <v>142</v>
      </c>
      <c r="L168"/>
      <c r="M168"/>
      <c r="N168"/>
    </row>
    <row r="169" spans="1:15" s="2" customFormat="1" x14ac:dyDescent="0.25">
      <c r="A169" t="s">
        <v>3</v>
      </c>
      <c r="B169" t="s">
        <v>26</v>
      </c>
      <c r="C169" t="s">
        <v>221</v>
      </c>
      <c r="D169">
        <f>4/64.5</f>
        <v>6.2015503875968991E-2</v>
      </c>
      <c r="E169" t="s">
        <v>30</v>
      </c>
      <c r="F169">
        <v>0.433</v>
      </c>
      <c r="G169" t="s">
        <v>31</v>
      </c>
      <c r="H169" t="s">
        <v>120</v>
      </c>
      <c r="I169">
        <v>12</v>
      </c>
      <c r="J169" t="s">
        <v>90</v>
      </c>
      <c r="K169" t="s">
        <v>143</v>
      </c>
      <c r="L169"/>
      <c r="M169"/>
      <c r="N169" t="s">
        <v>140</v>
      </c>
    </row>
    <row r="170" spans="1:15" s="2" customFormat="1" x14ac:dyDescent="0.25">
      <c r="A170" t="s">
        <v>3</v>
      </c>
      <c r="B170" t="s">
        <v>26</v>
      </c>
      <c r="C170" t="s">
        <v>221</v>
      </c>
      <c r="D170">
        <f>8/56.5</f>
        <v>0.1415929203539823</v>
      </c>
      <c r="E170" t="s">
        <v>30</v>
      </c>
      <c r="F170">
        <v>0.68799999999999994</v>
      </c>
      <c r="G170" t="s">
        <v>31</v>
      </c>
      <c r="H170" t="s">
        <v>120</v>
      </c>
      <c r="I170">
        <v>24</v>
      </c>
      <c r="J170" t="s">
        <v>90</v>
      </c>
      <c r="K170" t="s">
        <v>144</v>
      </c>
      <c r="L170"/>
      <c r="M170"/>
      <c r="N170"/>
    </row>
    <row r="171" spans="1:15" s="2" customFormat="1" x14ac:dyDescent="0.25">
      <c r="A171" t="s">
        <v>3</v>
      </c>
      <c r="B171" t="s">
        <v>26</v>
      </c>
      <c r="C171" t="s">
        <v>221</v>
      </c>
      <c r="D171">
        <f>8/63.72</f>
        <v>0.12554927809165098</v>
      </c>
      <c r="E171" t="s">
        <v>30</v>
      </c>
      <c r="F171">
        <v>0.79651000000000005</v>
      </c>
      <c r="G171" t="s">
        <v>31</v>
      </c>
      <c r="H171" t="s">
        <v>120</v>
      </c>
      <c r="I171">
        <v>24</v>
      </c>
      <c r="J171" t="s">
        <v>90</v>
      </c>
      <c r="K171" t="s">
        <v>146</v>
      </c>
      <c r="L171"/>
      <c r="M171"/>
      <c r="N171" t="s">
        <v>145</v>
      </c>
    </row>
    <row r="172" spans="1:15" s="2" customFormat="1" x14ac:dyDescent="0.25">
      <c r="A172" t="s">
        <v>3</v>
      </c>
      <c r="B172" t="s">
        <v>26</v>
      </c>
      <c r="C172" t="s">
        <v>221</v>
      </c>
      <c r="D172">
        <f>4/70</f>
        <v>5.7142857142857141E-2</v>
      </c>
      <c r="E172" t="s">
        <v>30</v>
      </c>
      <c r="F172">
        <v>0.29509999999999997</v>
      </c>
      <c r="G172" t="s">
        <v>31</v>
      </c>
      <c r="H172" t="s">
        <v>120</v>
      </c>
      <c r="I172">
        <v>17</v>
      </c>
      <c r="J172" t="s">
        <v>90</v>
      </c>
      <c r="K172" t="s">
        <v>147</v>
      </c>
      <c r="L172"/>
      <c r="M172"/>
      <c r="N172" t="s">
        <v>130</v>
      </c>
    </row>
    <row r="173" spans="1:15" s="2" customFormat="1" x14ac:dyDescent="0.25">
      <c r="A173" t="s">
        <v>3</v>
      </c>
      <c r="B173" t="s">
        <v>26</v>
      </c>
      <c r="C173" t="s">
        <v>221</v>
      </c>
      <c r="D173">
        <f>8/74</f>
        <v>0.10810810810810811</v>
      </c>
      <c r="E173" t="s">
        <v>30</v>
      </c>
      <c r="F173">
        <v>0.99</v>
      </c>
      <c r="G173" t="s">
        <v>31</v>
      </c>
      <c r="H173" t="s">
        <v>120</v>
      </c>
      <c r="I173">
        <v>28</v>
      </c>
      <c r="J173" t="s">
        <v>90</v>
      </c>
      <c r="K173" t="s">
        <v>148</v>
      </c>
      <c r="L173"/>
      <c r="M173"/>
      <c r="N173" t="s">
        <v>121</v>
      </c>
    </row>
    <row r="174" spans="1:15" s="2" customFormat="1" x14ac:dyDescent="0.25">
      <c r="A174" t="s">
        <v>3</v>
      </c>
      <c r="B174" t="s">
        <v>26</v>
      </c>
      <c r="C174" t="s">
        <v>221</v>
      </c>
      <c r="D174">
        <f>8/((54+61)/2)</f>
        <v>0.1391304347826087</v>
      </c>
      <c r="E174" t="s">
        <v>30</v>
      </c>
      <c r="F174">
        <v>0.68799999999999994</v>
      </c>
      <c r="G174" t="s">
        <v>31</v>
      </c>
      <c r="H174" t="s">
        <v>120</v>
      </c>
      <c r="I174">
        <v>16</v>
      </c>
      <c r="J174" t="s">
        <v>90</v>
      </c>
      <c r="K174" t="s">
        <v>166</v>
      </c>
      <c r="L174"/>
      <c r="M174"/>
      <c r="N174" t="s">
        <v>165</v>
      </c>
    </row>
    <row r="175" spans="1:15" x14ac:dyDescent="0.25">
      <c r="A175" t="s">
        <v>3</v>
      </c>
      <c r="B175" t="s">
        <v>26</v>
      </c>
      <c r="C175" t="s">
        <v>221</v>
      </c>
      <c r="D175">
        <f>8/70</f>
        <v>0.11428571428571428</v>
      </c>
      <c r="E175" t="s">
        <v>30</v>
      </c>
      <c r="H175" s="2" t="s">
        <v>120</v>
      </c>
      <c r="J175" t="s">
        <v>90</v>
      </c>
      <c r="K175" t="s">
        <v>314</v>
      </c>
      <c r="O175" s="2"/>
    </row>
    <row r="176" spans="1:15" s="2" customFormat="1" x14ac:dyDescent="0.25">
      <c r="A176" t="s">
        <v>11</v>
      </c>
      <c r="B176" t="s">
        <v>20</v>
      </c>
      <c r="C176" t="s">
        <v>80</v>
      </c>
      <c r="D176">
        <f>600/70</f>
        <v>8.5714285714285712</v>
      </c>
      <c r="E176" t="s">
        <v>30</v>
      </c>
      <c r="F176">
        <f>5.42/1000</f>
        <v>5.4200000000000003E-3</v>
      </c>
      <c r="G176" t="s">
        <v>31</v>
      </c>
      <c r="H176" t="s">
        <v>120</v>
      </c>
      <c r="I176">
        <v>8</v>
      </c>
      <c r="J176" t="s">
        <v>90</v>
      </c>
      <c r="K176" t="s">
        <v>205</v>
      </c>
      <c r="L176"/>
      <c r="M176"/>
      <c r="N176" t="s">
        <v>204</v>
      </c>
    </row>
    <row r="177" spans="1:15" s="2" customFormat="1" x14ac:dyDescent="0.25">
      <c r="A177" t="s">
        <v>11</v>
      </c>
      <c r="B177" t="s">
        <v>20</v>
      </c>
      <c r="C177" t="s">
        <v>80</v>
      </c>
      <c r="D177">
        <f>600/70</f>
        <v>8.5714285714285712</v>
      </c>
      <c r="E177" t="s">
        <v>30</v>
      </c>
      <c r="F177">
        <f>66.1/1000</f>
        <v>6.6099999999999992E-2</v>
      </c>
      <c r="G177" t="s">
        <v>31</v>
      </c>
      <c r="H177" t="s">
        <v>120</v>
      </c>
      <c r="J177" t="s">
        <v>90</v>
      </c>
      <c r="K177" t="s">
        <v>218</v>
      </c>
      <c r="L177"/>
      <c r="M177"/>
      <c r="N177" t="s">
        <v>130</v>
      </c>
    </row>
    <row r="178" spans="1:15" s="2" customFormat="1" x14ac:dyDescent="0.25">
      <c r="A178" t="s">
        <v>11</v>
      </c>
      <c r="B178" t="s">
        <v>20</v>
      </c>
      <c r="C178" t="s">
        <v>80</v>
      </c>
      <c r="D178">
        <f>2000/70</f>
        <v>28.571428571428573</v>
      </c>
      <c r="E178" t="s">
        <v>30</v>
      </c>
      <c r="F178"/>
      <c r="G178"/>
      <c r="H178" t="s">
        <v>120</v>
      </c>
      <c r="J178"/>
      <c r="K178" t="s">
        <v>314</v>
      </c>
      <c r="L178"/>
      <c r="M178"/>
      <c r="N178"/>
    </row>
    <row r="179" spans="1:15" s="2" customFormat="1" x14ac:dyDescent="0.25">
      <c r="A179" t="s">
        <v>84</v>
      </c>
      <c r="B179" t="s">
        <v>27</v>
      </c>
      <c r="C179" t="s">
        <v>85</v>
      </c>
      <c r="D179">
        <f>50/74.7</f>
        <v>0.66934404283801874</v>
      </c>
      <c r="E179" t="s">
        <v>30</v>
      </c>
      <c r="F179">
        <f>(1.07+1.05)/2</f>
        <v>1.06</v>
      </c>
      <c r="G179" t="s">
        <v>31</v>
      </c>
      <c r="H179" t="s">
        <v>120</v>
      </c>
      <c r="I179">
        <v>13</v>
      </c>
      <c r="J179" t="s">
        <v>90</v>
      </c>
      <c r="K179" t="s">
        <v>150</v>
      </c>
      <c r="L179"/>
      <c r="M179"/>
      <c r="N179" t="s">
        <v>149</v>
      </c>
      <c r="O179"/>
    </row>
    <row r="180" spans="1:15" s="2" customFormat="1" x14ac:dyDescent="0.25">
      <c r="A180" s="2" t="s">
        <v>84</v>
      </c>
      <c r="B180" s="2" t="s">
        <v>27</v>
      </c>
      <c r="C180" s="2" t="s">
        <v>85</v>
      </c>
      <c r="D180" s="2">
        <f>300/72</f>
        <v>4.166666666666667</v>
      </c>
      <c r="E180" s="2" t="s">
        <v>30</v>
      </c>
      <c r="F180" s="2">
        <v>1.92</v>
      </c>
      <c r="G180" s="2" t="s">
        <v>31</v>
      </c>
      <c r="H180" s="2" t="s">
        <v>120</v>
      </c>
      <c r="I180" s="2">
        <v>39</v>
      </c>
      <c r="J180" s="2" t="s">
        <v>90</v>
      </c>
      <c r="K180" s="2" t="s">
        <v>152</v>
      </c>
      <c r="N180" s="2" t="s">
        <v>151</v>
      </c>
    </row>
    <row r="181" spans="1:15" x14ac:dyDescent="0.25">
      <c r="A181" s="2" t="s">
        <v>84</v>
      </c>
      <c r="B181" s="2" t="s">
        <v>27</v>
      </c>
      <c r="C181" s="2" t="s">
        <v>85</v>
      </c>
      <c r="D181" s="2">
        <f>50/79</f>
        <v>0.63291139240506333</v>
      </c>
      <c r="E181" s="2" t="s">
        <v>30</v>
      </c>
      <c r="F181" s="2">
        <v>0.68100000000000005</v>
      </c>
      <c r="G181" s="2" t="s">
        <v>31</v>
      </c>
      <c r="H181" s="2" t="s">
        <v>120</v>
      </c>
      <c r="I181" s="2">
        <v>10</v>
      </c>
      <c r="J181" s="2" t="s">
        <v>90</v>
      </c>
      <c r="K181" s="2" t="s">
        <v>153</v>
      </c>
      <c r="L181" s="2"/>
      <c r="M181" s="2"/>
      <c r="N181" s="2"/>
      <c r="O181" s="2"/>
    </row>
    <row r="182" spans="1:15" x14ac:dyDescent="0.25">
      <c r="A182" s="2" t="s">
        <v>84</v>
      </c>
      <c r="B182" s="2" t="s">
        <v>27</v>
      </c>
      <c r="C182" s="2" t="s">
        <v>85</v>
      </c>
      <c r="D182" s="2">
        <f>50/70</f>
        <v>0.7142857142857143</v>
      </c>
      <c r="E182" s="2" t="s">
        <v>30</v>
      </c>
      <c r="F182" s="2">
        <f>AVERAGE(736,755,858)/1000</f>
        <v>0.78300000000000003</v>
      </c>
      <c r="G182" s="2" t="s">
        <v>31</v>
      </c>
      <c r="H182" s="2" t="s">
        <v>120</v>
      </c>
      <c r="I182" s="2">
        <v>6</v>
      </c>
      <c r="J182" s="2" t="s">
        <v>90</v>
      </c>
      <c r="K182" s="2" t="s">
        <v>154</v>
      </c>
      <c r="L182" s="2"/>
      <c r="M182" s="2"/>
      <c r="N182" s="2" t="s">
        <v>155</v>
      </c>
      <c r="O182" s="2"/>
    </row>
    <row r="183" spans="1:15" x14ac:dyDescent="0.25">
      <c r="A183" s="2" t="s">
        <v>84</v>
      </c>
      <c r="B183" s="2" t="s">
        <v>27</v>
      </c>
      <c r="C183" s="2" t="s">
        <v>85</v>
      </c>
      <c r="D183" s="2">
        <f>100/70</f>
        <v>1.4285714285714286</v>
      </c>
      <c r="E183" s="2" t="s">
        <v>30</v>
      </c>
      <c r="F183" s="2">
        <v>1.546</v>
      </c>
      <c r="G183" s="2" t="s">
        <v>31</v>
      </c>
      <c r="H183" s="2" t="s">
        <v>120</v>
      </c>
      <c r="I183" s="2">
        <v>47</v>
      </c>
      <c r="J183" s="2" t="s">
        <v>90</v>
      </c>
      <c r="K183" s="2" t="s">
        <v>156</v>
      </c>
      <c r="L183" s="2"/>
      <c r="M183" s="2"/>
      <c r="N183" s="2" t="s">
        <v>157</v>
      </c>
      <c r="O183" s="2"/>
    </row>
    <row r="184" spans="1:15" s="2" customFormat="1" x14ac:dyDescent="0.25">
      <c r="A184" s="2" t="s">
        <v>84</v>
      </c>
      <c r="B184" s="2" t="s">
        <v>27</v>
      </c>
      <c r="C184" s="2" t="s">
        <v>85</v>
      </c>
      <c r="D184" s="2">
        <f>10/70</f>
        <v>0.14285714285714285</v>
      </c>
      <c r="E184" s="2" t="s">
        <v>30</v>
      </c>
      <c r="F184" s="2">
        <v>0.20599999999999999</v>
      </c>
      <c r="G184" s="2" t="s">
        <v>31</v>
      </c>
      <c r="H184" s="2" t="s">
        <v>120</v>
      </c>
      <c r="I184" s="2">
        <v>29</v>
      </c>
      <c r="J184" s="2" t="s">
        <v>90</v>
      </c>
      <c r="K184" s="2" t="s">
        <v>163</v>
      </c>
      <c r="N184" s="2" t="s">
        <v>164</v>
      </c>
    </row>
    <row r="185" spans="1:15" x14ac:dyDescent="0.25">
      <c r="A185" s="2" t="s">
        <v>84</v>
      </c>
      <c r="B185" s="2" t="s">
        <v>27</v>
      </c>
      <c r="C185" s="2" t="s">
        <v>85</v>
      </c>
      <c r="D185" s="2">
        <f>600/70</f>
        <v>8.5714285714285712</v>
      </c>
      <c r="E185" t="s">
        <v>30</v>
      </c>
      <c r="G185" s="2"/>
      <c r="H185" s="2" t="s">
        <v>120</v>
      </c>
      <c r="I185" s="2"/>
      <c r="J185" s="2" t="s">
        <v>90</v>
      </c>
      <c r="K185" s="2" t="s">
        <v>314</v>
      </c>
      <c r="N185" s="2"/>
    </row>
    <row r="186" spans="1:15" x14ac:dyDescent="0.25">
      <c r="A186" s="2" t="s">
        <v>12</v>
      </c>
      <c r="B186" s="2" t="s">
        <v>21</v>
      </c>
      <c r="C186" s="2" t="s">
        <v>81</v>
      </c>
      <c r="D186" s="2">
        <f>400/70</f>
        <v>5.7142857142857144</v>
      </c>
      <c r="E186" s="2" t="s">
        <v>30</v>
      </c>
      <c r="F186" s="2">
        <v>1.85</v>
      </c>
      <c r="G186" s="2" t="s">
        <v>31</v>
      </c>
      <c r="H186" s="2" t="s">
        <v>120</v>
      </c>
      <c r="I186" s="2">
        <v>12</v>
      </c>
      <c r="J186" s="2" t="s">
        <v>90</v>
      </c>
      <c r="K186" s="2" t="s">
        <v>215</v>
      </c>
      <c r="L186" s="2"/>
      <c r="M186" s="2"/>
      <c r="N186" s="2" t="s">
        <v>216</v>
      </c>
      <c r="O186" s="2"/>
    </row>
    <row r="187" spans="1:15" x14ac:dyDescent="0.25">
      <c r="A187" s="2" t="s">
        <v>12</v>
      </c>
      <c r="B187" s="2" t="s">
        <v>21</v>
      </c>
      <c r="C187" s="2" t="s">
        <v>81</v>
      </c>
      <c r="D187">
        <f>400/79.1</f>
        <v>5.0568900126422252</v>
      </c>
      <c r="E187" s="2" t="s">
        <v>30</v>
      </c>
      <c r="F187">
        <f>(1.1+2.2)/2</f>
        <v>1.6500000000000001</v>
      </c>
      <c r="G187" s="2" t="s">
        <v>31</v>
      </c>
      <c r="H187" s="2" t="s">
        <v>120</v>
      </c>
      <c r="I187" s="2">
        <v>12</v>
      </c>
      <c r="J187" s="2" t="s">
        <v>90</v>
      </c>
      <c r="K187" s="2" t="s">
        <v>215</v>
      </c>
      <c r="N187" s="2" t="s">
        <v>217</v>
      </c>
    </row>
    <row r="188" spans="1:15" x14ac:dyDescent="0.25">
      <c r="A188" s="2" t="s">
        <v>12</v>
      </c>
      <c r="B188" s="2" t="s">
        <v>21</v>
      </c>
      <c r="C188" s="2" t="s">
        <v>81</v>
      </c>
      <c r="D188">
        <f>800/70</f>
        <v>11.428571428571429</v>
      </c>
      <c r="E188" t="s">
        <v>30</v>
      </c>
      <c r="G188" s="2"/>
      <c r="H188" s="2" t="s">
        <v>120</v>
      </c>
      <c r="I188" s="2"/>
      <c r="J188" t="s">
        <v>90</v>
      </c>
      <c r="K188" s="2" t="s">
        <v>314</v>
      </c>
    </row>
  </sheetData>
  <autoFilter ref="A1:O188" xr:uid="{10DBA35E-71E3-48EC-BDB7-2C3BF7596713}">
    <sortState xmlns:xlrd2="http://schemas.microsoft.com/office/spreadsheetml/2017/richdata2" ref="A2:O188">
      <sortCondition ref="A1:A188"/>
    </sortState>
  </autoFilter>
  <phoneticPr fontId="2" type="noConversion"/>
  <hyperlinks>
    <hyperlink ref="M35" r:id="rId1" xr:uid="{076AE1DF-8715-4EB8-9E0D-AB7BE6CC3B12}"/>
    <hyperlink ref="M46" r:id="rId2" xr:uid="{56E8A4B0-7C3F-4B7A-9ECE-2A3A0204BA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string</vt:lpstr>
      <vt:lpstr>Clinical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Bruijn, Veronique de</dc:creator>
  <cp:lastModifiedBy>Bruijn, Veronique de</cp:lastModifiedBy>
  <dcterms:created xsi:type="dcterms:W3CDTF">2022-09-16T08:27:25Z</dcterms:created>
  <dcterms:modified xsi:type="dcterms:W3CDTF">2023-09-22T11:27:36Z</dcterms:modified>
</cp:coreProperties>
</file>