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60" yWindow="-15" windowWidth="13530" windowHeight="11760"/>
  </bookViews>
  <sheets>
    <sheet name="АГЦ" sheetId="1" r:id="rId1"/>
    <sheet name="ЦИБ" sheetId="5" r:id="rId2"/>
    <sheet name="ДЦ-1,2" sheetId="2" r:id="rId3"/>
    <sheet name="прилож_ДЦ-1" sheetId="3" r:id="rId4"/>
    <sheet name="ДЭР" sheetId="6" state="hidden" r:id="rId5"/>
  </sheets>
  <definedNames>
    <definedName name="_xlnm.Print_Area" localSheetId="0">АГЦ!$A$1:$P$54</definedName>
    <definedName name="_xlnm.Print_Area" localSheetId="2">'ДЦ-1,2'!$A$1:$Q$186</definedName>
    <definedName name="_xlnm.Print_Area" localSheetId="3">'прилож_ДЦ-1'!$A$1:$Q$171</definedName>
    <definedName name="_xlnm.Print_Area" localSheetId="1">ЦИБ!$A$1:$Q$33</definedName>
  </definedNames>
  <calcPr calcId="162913"/>
</workbook>
</file>

<file path=xl/calcChain.xml><?xml version="1.0" encoding="utf-8"?>
<calcChain xmlns="http://schemas.openxmlformats.org/spreadsheetml/2006/main">
  <c r="J145" i="3" l="1"/>
  <c r="J138" i="3"/>
  <c r="J135" i="3"/>
  <c r="J122" i="3"/>
  <c r="N55" i="3"/>
  <c r="O55" i="3"/>
  <c r="J37" i="3" l="1"/>
  <c r="I37" i="3"/>
  <c r="J44" i="3"/>
  <c r="I23" i="3" l="1"/>
  <c r="H23" i="3" l="1"/>
  <c r="J15" i="5"/>
  <c r="K15" i="5"/>
  <c r="L15" i="5"/>
  <c r="M15" i="5"/>
  <c r="N15" i="5"/>
  <c r="O15" i="5"/>
  <c r="L28" i="1"/>
  <c r="H149" i="3" l="1"/>
  <c r="I149" i="3"/>
  <c r="J149" i="3"/>
  <c r="K149" i="3"/>
  <c r="L149" i="3"/>
  <c r="M149" i="3"/>
  <c r="N149" i="3"/>
  <c r="O149" i="3"/>
  <c r="H122" i="3"/>
  <c r="I122" i="3"/>
  <c r="N122" i="3"/>
  <c r="O122" i="3"/>
  <c r="H170" i="3"/>
  <c r="I170" i="3"/>
  <c r="J170" i="3"/>
  <c r="K170" i="3"/>
  <c r="L170" i="3"/>
  <c r="M170" i="3"/>
  <c r="N170" i="3"/>
  <c r="O170" i="3"/>
  <c r="I145" i="3"/>
  <c r="N145" i="3"/>
  <c r="O145" i="3"/>
  <c r="H145" i="3"/>
  <c r="K54" i="6" l="1"/>
  <c r="L54" i="6"/>
  <c r="M54" i="6"/>
  <c r="N54" i="6"/>
  <c r="O54" i="6"/>
  <c r="P54" i="6"/>
  <c r="Q54" i="6"/>
  <c r="R54" i="6"/>
  <c r="J54" i="6"/>
  <c r="R49" i="6"/>
  <c r="Q49" i="6"/>
  <c r="P49" i="6"/>
  <c r="O49" i="6"/>
  <c r="N49" i="6"/>
  <c r="M49" i="6"/>
  <c r="L49" i="6"/>
  <c r="K49" i="6"/>
  <c r="R48" i="6"/>
  <c r="Q48" i="6"/>
  <c r="P48" i="6"/>
  <c r="O48" i="6"/>
  <c r="N48" i="6"/>
  <c r="M48" i="6"/>
  <c r="L48" i="6"/>
  <c r="K48" i="6"/>
  <c r="R47" i="6"/>
  <c r="Q47" i="6"/>
  <c r="P47" i="6"/>
  <c r="O47" i="6"/>
  <c r="N47" i="6"/>
  <c r="M47" i="6"/>
  <c r="L47" i="6"/>
  <c r="K47" i="6"/>
  <c r="R46" i="6"/>
  <c r="Q46" i="6"/>
  <c r="P46" i="6"/>
  <c r="O46" i="6"/>
  <c r="N46" i="6"/>
  <c r="M46" i="6"/>
  <c r="L46" i="6"/>
  <c r="K46" i="6"/>
  <c r="R45" i="6"/>
  <c r="Q45" i="6"/>
  <c r="P45" i="6"/>
  <c r="O45" i="6"/>
  <c r="N45" i="6"/>
  <c r="M45" i="6"/>
  <c r="L45" i="6"/>
  <c r="K45" i="6"/>
  <c r="J49" i="6"/>
  <c r="J48" i="6"/>
  <c r="J47" i="6"/>
  <c r="J46" i="6"/>
  <c r="J45" i="6"/>
  <c r="J53" i="6"/>
  <c r="R41" i="6"/>
  <c r="Q41" i="6"/>
  <c r="P41" i="6"/>
  <c r="O41" i="6"/>
  <c r="N41" i="6"/>
  <c r="M41" i="6"/>
  <c r="L41" i="6"/>
  <c r="K41" i="6"/>
  <c r="R40" i="6"/>
  <c r="Q40" i="6"/>
  <c r="P40" i="6"/>
  <c r="O40" i="6"/>
  <c r="N40" i="6"/>
  <c r="M40" i="6"/>
  <c r="L40" i="6"/>
  <c r="K40" i="6"/>
  <c r="R39" i="6"/>
  <c r="Q39" i="6"/>
  <c r="P39" i="6"/>
  <c r="O39" i="6"/>
  <c r="N39" i="6"/>
  <c r="M39" i="6"/>
  <c r="L39" i="6"/>
  <c r="K39" i="6"/>
  <c r="R38" i="6"/>
  <c r="Q38" i="6"/>
  <c r="P38" i="6"/>
  <c r="O38" i="6"/>
  <c r="N38" i="6"/>
  <c r="M38" i="6"/>
  <c r="L38" i="6"/>
  <c r="K38" i="6"/>
  <c r="R37" i="6"/>
  <c r="Q37" i="6"/>
  <c r="P37" i="6"/>
  <c r="O37" i="6"/>
  <c r="N37" i="6"/>
  <c r="M37" i="6"/>
  <c r="L37" i="6"/>
  <c r="K37" i="6"/>
  <c r="J41" i="6"/>
  <c r="J40" i="6"/>
  <c r="J39" i="6"/>
  <c r="J38" i="6"/>
  <c r="J37" i="6"/>
  <c r="R33" i="6"/>
  <c r="Q33" i="6"/>
  <c r="P33" i="6"/>
  <c r="O33" i="6"/>
  <c r="N33" i="6"/>
  <c r="M33" i="6"/>
  <c r="L33" i="6"/>
  <c r="K33" i="6"/>
  <c r="R32" i="6"/>
  <c r="Q32" i="6"/>
  <c r="P32" i="6"/>
  <c r="O32" i="6"/>
  <c r="N32" i="6"/>
  <c r="M32" i="6"/>
  <c r="L32" i="6"/>
  <c r="K32" i="6"/>
  <c r="R31" i="6"/>
  <c r="Q31" i="6"/>
  <c r="P31" i="6"/>
  <c r="O31" i="6"/>
  <c r="N31" i="6"/>
  <c r="M31" i="6"/>
  <c r="L31" i="6"/>
  <c r="K31" i="6"/>
  <c r="R30" i="6"/>
  <c r="Q30" i="6"/>
  <c r="P30" i="6"/>
  <c r="O30" i="6"/>
  <c r="N30" i="6"/>
  <c r="M30" i="6"/>
  <c r="L30" i="6"/>
  <c r="K30" i="6"/>
  <c r="R29" i="6"/>
  <c r="Q29" i="6"/>
  <c r="P29" i="6"/>
  <c r="O29" i="6"/>
  <c r="N29" i="6"/>
  <c r="M29" i="6"/>
  <c r="L29" i="6"/>
  <c r="K29" i="6"/>
  <c r="J33" i="6"/>
  <c r="J32" i="6"/>
  <c r="J31" i="6"/>
  <c r="J30" i="6"/>
  <c r="J29" i="6"/>
  <c r="R25" i="6"/>
  <c r="Q25" i="6"/>
  <c r="P25" i="6"/>
  <c r="O25" i="6"/>
  <c r="N25" i="6"/>
  <c r="M25" i="6"/>
  <c r="L25" i="6"/>
  <c r="K25" i="6"/>
  <c r="R24" i="6"/>
  <c r="Q24" i="6"/>
  <c r="P24" i="6"/>
  <c r="O24" i="6"/>
  <c r="N24" i="6"/>
  <c r="M24" i="6"/>
  <c r="L24" i="6"/>
  <c r="K24" i="6"/>
  <c r="R23" i="6"/>
  <c r="Q23" i="6"/>
  <c r="P23" i="6"/>
  <c r="O23" i="6"/>
  <c r="N23" i="6"/>
  <c r="M23" i="6"/>
  <c r="L23" i="6"/>
  <c r="K23" i="6"/>
  <c r="R22" i="6"/>
  <c r="Q22" i="6"/>
  <c r="P22" i="6"/>
  <c r="O22" i="6"/>
  <c r="N22" i="6"/>
  <c r="M22" i="6"/>
  <c r="L22" i="6"/>
  <c r="K22" i="6"/>
  <c r="R21" i="6"/>
  <c r="Q21" i="6"/>
  <c r="P21" i="6"/>
  <c r="O21" i="6"/>
  <c r="N21" i="6"/>
  <c r="M21" i="6"/>
  <c r="L21" i="6"/>
  <c r="K21" i="6"/>
  <c r="J25" i="6"/>
  <c r="J24" i="6"/>
  <c r="J23" i="6"/>
  <c r="J22" i="6"/>
  <c r="J21" i="6"/>
  <c r="R17" i="6"/>
  <c r="Q17" i="6"/>
  <c r="P17" i="6"/>
  <c r="O17" i="6"/>
  <c r="N17" i="6"/>
  <c r="M17" i="6"/>
  <c r="L17" i="6"/>
  <c r="K17" i="6"/>
  <c r="R16" i="6"/>
  <c r="Q16" i="6"/>
  <c r="P16" i="6"/>
  <c r="O16" i="6"/>
  <c r="N16" i="6"/>
  <c r="M16" i="6"/>
  <c r="L16" i="6"/>
  <c r="K16" i="6"/>
  <c r="R14" i="6"/>
  <c r="Q14" i="6"/>
  <c r="P14" i="6"/>
  <c r="O14" i="6"/>
  <c r="N14" i="6"/>
  <c r="M14" i="6"/>
  <c r="L14" i="6"/>
  <c r="K14" i="6"/>
  <c r="R13" i="6"/>
  <c r="Q13" i="6"/>
  <c r="P13" i="6"/>
  <c r="O13" i="6"/>
  <c r="N13" i="6"/>
  <c r="M13" i="6"/>
  <c r="L13" i="6"/>
  <c r="K13" i="6"/>
  <c r="J17" i="6"/>
  <c r="J16" i="6"/>
  <c r="J14" i="6"/>
  <c r="J13" i="6"/>
  <c r="K53" i="6"/>
  <c r="L53" i="6" s="1"/>
  <c r="M53" i="6" s="1"/>
  <c r="N53" i="6" s="1"/>
  <c r="O53" i="6" s="1"/>
  <c r="P53" i="6" s="1"/>
  <c r="Q53" i="6" s="1"/>
  <c r="R53" i="6" s="1"/>
  <c r="F37" i="6" l="1"/>
  <c r="F45" i="6"/>
  <c r="F47" i="6" s="1"/>
  <c r="F13" i="6"/>
  <c r="F15" i="6" s="1"/>
  <c r="F29" i="6"/>
  <c r="F32" i="6" s="1"/>
  <c r="F21" i="6"/>
  <c r="F22" i="6" s="1"/>
  <c r="F39" i="6"/>
  <c r="F38" i="6"/>
  <c r="F41" i="6"/>
  <c r="F40" i="6"/>
  <c r="F46" i="6"/>
  <c r="F49" i="6"/>
  <c r="F48" i="6"/>
  <c r="O151" i="2"/>
  <c r="M108" i="2"/>
  <c r="F33" i="6" l="1"/>
  <c r="F16" i="6"/>
  <c r="F17" i="6"/>
  <c r="F31" i="6"/>
  <c r="F23" i="6"/>
  <c r="F25" i="6"/>
  <c r="F24" i="6"/>
  <c r="F14" i="6"/>
  <c r="F30" i="6"/>
  <c r="I41" i="1" l="1"/>
  <c r="I28" i="1"/>
  <c r="P22" i="3" l="1"/>
  <c r="P23" i="3" s="1"/>
  <c r="P36" i="3"/>
  <c r="P37" i="3" s="1"/>
  <c r="N37" i="3" l="1"/>
  <c r="H169" i="2" l="1"/>
  <c r="I169" i="2"/>
  <c r="J169" i="2"/>
  <c r="K169" i="2"/>
  <c r="L169" i="2"/>
  <c r="M169" i="2"/>
  <c r="N169" i="2"/>
  <c r="O169" i="2"/>
  <c r="H129" i="2"/>
  <c r="I129" i="2"/>
  <c r="J129" i="2"/>
  <c r="K129" i="2"/>
  <c r="L129" i="2"/>
  <c r="M129" i="2"/>
  <c r="N129" i="2"/>
  <c r="O129" i="2"/>
  <c r="H61" i="3"/>
  <c r="I61" i="3"/>
  <c r="J61" i="3"/>
  <c r="K61" i="3"/>
  <c r="L61" i="3"/>
  <c r="M61" i="3"/>
  <c r="N61" i="3"/>
  <c r="O61" i="3"/>
  <c r="H44" i="3"/>
  <c r="I44" i="3"/>
  <c r="N44" i="3"/>
  <c r="O44" i="3"/>
  <c r="H26" i="3"/>
  <c r="I26" i="3"/>
  <c r="J26" i="3"/>
  <c r="K26" i="3"/>
  <c r="L26" i="3"/>
  <c r="M26" i="3"/>
  <c r="N26" i="3"/>
  <c r="O26" i="3"/>
  <c r="H108" i="3" l="1"/>
  <c r="I108" i="3"/>
  <c r="J108" i="3"/>
  <c r="K108" i="3"/>
  <c r="L108" i="3"/>
  <c r="M108" i="3"/>
  <c r="N108" i="3"/>
  <c r="O108" i="3"/>
  <c r="H21" i="1" l="1"/>
  <c r="I21" i="1"/>
  <c r="J21" i="1"/>
  <c r="K21" i="1"/>
  <c r="L21" i="1"/>
  <c r="M21" i="1"/>
  <c r="N21" i="1"/>
  <c r="O21" i="1"/>
  <c r="L151" i="2" l="1"/>
  <c r="H135" i="3" l="1"/>
  <c r="I135" i="3" l="1"/>
  <c r="H37" i="3"/>
  <c r="H20" i="1" l="1"/>
  <c r="I20" i="1"/>
  <c r="J20" i="1"/>
  <c r="K20" i="1"/>
  <c r="L20" i="1"/>
  <c r="M20" i="1"/>
  <c r="N20" i="1"/>
  <c r="O20" i="1"/>
  <c r="O19" i="1" s="1"/>
  <c r="J183" i="2" l="1"/>
  <c r="I183" i="2"/>
  <c r="H183" i="2"/>
  <c r="J175" i="2"/>
  <c r="I175" i="2"/>
  <c r="H175" i="2"/>
  <c r="J144" i="2"/>
  <c r="I144" i="2"/>
  <c r="H144" i="2"/>
  <c r="J160" i="3"/>
  <c r="I160" i="3"/>
  <c r="H160" i="3"/>
  <c r="J118" i="3"/>
  <c r="I118" i="3"/>
  <c r="H118" i="3"/>
  <c r="J112" i="3"/>
  <c r="I112" i="3"/>
  <c r="H112" i="3"/>
  <c r="J27" i="5"/>
  <c r="I27" i="5"/>
  <c r="H27" i="5"/>
  <c r="J18" i="5"/>
  <c r="I15" i="5"/>
  <c r="I18" i="5" s="1"/>
  <c r="H15" i="5"/>
  <c r="H18" i="5" s="1"/>
  <c r="J41" i="1"/>
  <c r="H41" i="1"/>
  <c r="J34" i="1"/>
  <c r="I34" i="1"/>
  <c r="H34" i="1"/>
  <c r="J33" i="1"/>
  <c r="I33" i="1"/>
  <c r="H33" i="1"/>
  <c r="J32" i="1"/>
  <c r="I32" i="1"/>
  <c r="H32" i="1"/>
  <c r="J30" i="1"/>
  <c r="I30" i="1"/>
  <c r="H30" i="1"/>
  <c r="J28" i="1"/>
  <c r="H28" i="1"/>
  <c r="J11" i="1"/>
  <c r="J18" i="1" s="1"/>
  <c r="I11" i="1"/>
  <c r="I18" i="1" s="1"/>
  <c r="H11" i="1"/>
  <c r="H18" i="1" s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0" i="1"/>
  <c r="N30" i="1"/>
  <c r="M30" i="1"/>
  <c r="L30" i="1"/>
  <c r="K30" i="1"/>
  <c r="J31" i="1" l="1"/>
  <c r="H31" i="1"/>
  <c r="O31" i="1"/>
  <c r="I31" i="1"/>
  <c r="K31" i="1"/>
  <c r="M31" i="1"/>
  <c r="J19" i="1"/>
  <c r="J35" i="1" s="1"/>
  <c r="H19" i="1"/>
  <c r="H35" i="1" s="1"/>
  <c r="I19" i="1"/>
  <c r="I35" i="1" s="1"/>
  <c r="N31" i="1"/>
  <c r="L31" i="1"/>
  <c r="H151" i="2" l="1"/>
  <c r="I108" i="2"/>
  <c r="H108" i="2"/>
  <c r="I151" i="2"/>
  <c r="M23" i="3"/>
  <c r="N151" i="2" l="1"/>
  <c r="M151" i="2"/>
  <c r="K151" i="2"/>
  <c r="J151" i="2"/>
  <c r="O108" i="2"/>
  <c r="N108" i="2"/>
  <c r="L108" i="2"/>
  <c r="K108" i="2"/>
  <c r="J108" i="2"/>
  <c r="M55" i="3"/>
  <c r="L55" i="3"/>
  <c r="K55" i="3"/>
  <c r="J55" i="3"/>
  <c r="I55" i="3"/>
  <c r="H55" i="3"/>
  <c r="O37" i="3"/>
  <c r="N23" i="3"/>
  <c r="L23" i="3"/>
  <c r="O23" i="3"/>
  <c r="K23" i="3"/>
  <c r="J23" i="3"/>
  <c r="O51" i="1" l="1"/>
  <c r="N51" i="1"/>
  <c r="M51" i="1"/>
  <c r="L51" i="1"/>
  <c r="K51" i="1"/>
  <c r="J51" i="1"/>
  <c r="I51" i="1"/>
  <c r="H51" i="1"/>
  <c r="P50" i="1"/>
  <c r="O50" i="1"/>
  <c r="N50" i="1"/>
  <c r="M50" i="1"/>
  <c r="L50" i="1"/>
  <c r="K50" i="1"/>
  <c r="J50" i="1"/>
  <c r="I50" i="1"/>
  <c r="H50" i="1"/>
  <c r="O41" i="1"/>
  <c r="N41" i="1"/>
  <c r="M41" i="1"/>
  <c r="L41" i="1"/>
  <c r="K41" i="1"/>
  <c r="O28" i="1"/>
  <c r="N28" i="1"/>
  <c r="M28" i="1"/>
  <c r="K28" i="1"/>
  <c r="N19" i="1"/>
  <c r="M19" i="1"/>
  <c r="L19" i="1"/>
  <c r="O11" i="1"/>
  <c r="O18" i="1" s="1"/>
  <c r="N11" i="1"/>
  <c r="N18" i="1" s="1"/>
  <c r="M11" i="1"/>
  <c r="M18" i="1" s="1"/>
  <c r="L11" i="1"/>
  <c r="L18" i="1" s="1"/>
  <c r="K11" i="1"/>
  <c r="K18" i="1" s="1"/>
  <c r="P9" i="1"/>
  <c r="P15" i="1" l="1"/>
  <c r="P16" i="1"/>
  <c r="P17" i="1"/>
  <c r="M35" i="1"/>
  <c r="L35" i="1"/>
  <c r="N35" i="1"/>
  <c r="P33" i="1"/>
  <c r="P30" i="1"/>
  <c r="P32" i="1"/>
  <c r="P34" i="1"/>
  <c r="P31" i="1"/>
  <c r="P42" i="1"/>
  <c r="F54" i="6" s="1"/>
  <c r="P29" i="1"/>
  <c r="P24" i="1"/>
  <c r="P28" i="1"/>
  <c r="P11" i="1"/>
  <c r="P12" i="1"/>
  <c r="P27" i="1"/>
  <c r="P20" i="1"/>
  <c r="P23" i="1"/>
  <c r="P51" i="1"/>
  <c r="P14" i="1"/>
  <c r="K19" i="1"/>
  <c r="K35" i="1" s="1"/>
  <c r="O35" i="1"/>
  <c r="P22" i="1"/>
  <c r="P26" i="1"/>
  <c r="P39" i="1"/>
  <c r="P43" i="1"/>
  <c r="P36" i="1"/>
  <c r="P40" i="1"/>
  <c r="P44" i="1"/>
  <c r="P37" i="1"/>
  <c r="P13" i="1"/>
  <c r="P21" i="1"/>
  <c r="P25" i="1"/>
  <c r="P38" i="1"/>
  <c r="P19" i="1" l="1"/>
  <c r="P18" i="1"/>
  <c r="P41" i="1"/>
  <c r="P35" i="1" l="1"/>
  <c r="O183" i="2"/>
  <c r="N183" i="2"/>
  <c r="M183" i="2"/>
  <c r="L183" i="2"/>
  <c r="K183" i="2"/>
  <c r="O175" i="2"/>
  <c r="N175" i="2"/>
  <c r="M175" i="2"/>
  <c r="L175" i="2"/>
  <c r="K175" i="2"/>
  <c r="O144" i="2"/>
  <c r="N144" i="2"/>
  <c r="M144" i="2"/>
  <c r="L144" i="2"/>
  <c r="K144" i="2"/>
  <c r="O59" i="2"/>
  <c r="N59" i="2"/>
  <c r="M59" i="2"/>
  <c r="L59" i="2"/>
  <c r="K59" i="2"/>
  <c r="J59" i="2"/>
  <c r="O58" i="2"/>
  <c r="O93" i="2" s="1"/>
  <c r="N58" i="2"/>
  <c r="N93" i="2" s="1"/>
  <c r="M58" i="2"/>
  <c r="M91" i="2" s="1"/>
  <c r="L58" i="2"/>
  <c r="K58" i="2"/>
  <c r="K93" i="2" s="1"/>
  <c r="J58" i="2"/>
  <c r="J93" i="2" s="1"/>
  <c r="O10" i="2"/>
  <c r="N10" i="2"/>
  <c r="M10" i="2"/>
  <c r="L10" i="2"/>
  <c r="K10" i="2"/>
  <c r="J10" i="2"/>
  <c r="L95" i="2" l="1"/>
  <c r="K62" i="2"/>
  <c r="L64" i="2"/>
  <c r="O66" i="2"/>
  <c r="K70" i="2"/>
  <c r="L76" i="2"/>
  <c r="J95" i="2"/>
  <c r="N95" i="2"/>
  <c r="L62" i="2"/>
  <c r="O64" i="2"/>
  <c r="K68" i="2"/>
  <c r="L70" i="2"/>
  <c r="L78" i="2"/>
  <c r="O62" i="2"/>
  <c r="K66" i="2"/>
  <c r="L68" i="2"/>
  <c r="O70" i="2"/>
  <c r="K64" i="2"/>
  <c r="L66" i="2"/>
  <c r="O68" i="2"/>
  <c r="L74" i="2"/>
  <c r="M95" i="2"/>
  <c r="L61" i="2"/>
  <c r="J62" i="2"/>
  <c r="N62" i="2"/>
  <c r="L63" i="2"/>
  <c r="J64" i="2"/>
  <c r="N64" i="2"/>
  <c r="L65" i="2"/>
  <c r="J66" i="2"/>
  <c r="N66" i="2"/>
  <c r="L67" i="2"/>
  <c r="J68" i="2"/>
  <c r="N68" i="2"/>
  <c r="L69" i="2"/>
  <c r="J70" i="2"/>
  <c r="N70" i="2"/>
  <c r="L71" i="2"/>
  <c r="L73" i="2"/>
  <c r="J74" i="2"/>
  <c r="N74" i="2"/>
  <c r="L75" i="2"/>
  <c r="J76" i="2"/>
  <c r="N76" i="2"/>
  <c r="L77" i="2"/>
  <c r="J78" i="2"/>
  <c r="N78" i="2"/>
  <c r="L79" i="2"/>
  <c r="J80" i="2"/>
  <c r="N80" i="2"/>
  <c r="L81" i="2"/>
  <c r="J82" i="2"/>
  <c r="N82" i="2"/>
  <c r="L83" i="2"/>
  <c r="J84" i="2"/>
  <c r="N84" i="2"/>
  <c r="L86" i="2"/>
  <c r="J87" i="2"/>
  <c r="N87" i="2"/>
  <c r="L88" i="2"/>
  <c r="J89" i="2"/>
  <c r="N89" i="2"/>
  <c r="L90" i="2"/>
  <c r="J91" i="2"/>
  <c r="N91" i="2"/>
  <c r="L93" i="2"/>
  <c r="M61" i="2"/>
  <c r="M63" i="2"/>
  <c r="M65" i="2"/>
  <c r="M67" i="2"/>
  <c r="M69" i="2"/>
  <c r="M71" i="2"/>
  <c r="M73" i="2"/>
  <c r="K74" i="2"/>
  <c r="O74" i="2"/>
  <c r="M75" i="2"/>
  <c r="K76" i="2"/>
  <c r="O76" i="2"/>
  <c r="M77" i="2"/>
  <c r="K78" i="2"/>
  <c r="O78" i="2"/>
  <c r="M79" i="2"/>
  <c r="K80" i="2"/>
  <c r="O80" i="2"/>
  <c r="M81" i="2"/>
  <c r="K82" i="2"/>
  <c r="O82" i="2"/>
  <c r="M83" i="2"/>
  <c r="K84" i="2"/>
  <c r="O84" i="2"/>
  <c r="M86" i="2"/>
  <c r="K87" i="2"/>
  <c r="O87" i="2"/>
  <c r="M88" i="2"/>
  <c r="K89" i="2"/>
  <c r="O89" i="2"/>
  <c r="M90" i="2"/>
  <c r="K91" i="2"/>
  <c r="O91" i="2"/>
  <c r="M93" i="2"/>
  <c r="K95" i="2"/>
  <c r="O95" i="2"/>
  <c r="J61" i="2"/>
  <c r="N61" i="2"/>
  <c r="J63" i="2"/>
  <c r="N63" i="2"/>
  <c r="J65" i="2"/>
  <c r="N65" i="2"/>
  <c r="J67" i="2"/>
  <c r="N67" i="2"/>
  <c r="J69" i="2"/>
  <c r="N69" i="2"/>
  <c r="J71" i="2"/>
  <c r="N71" i="2"/>
  <c r="J73" i="2"/>
  <c r="N73" i="2"/>
  <c r="J75" i="2"/>
  <c r="N75" i="2"/>
  <c r="J77" i="2"/>
  <c r="N77" i="2"/>
  <c r="J79" i="2"/>
  <c r="N79" i="2"/>
  <c r="L80" i="2"/>
  <c r="J81" i="2"/>
  <c r="N81" i="2"/>
  <c r="L82" i="2"/>
  <c r="J83" i="2"/>
  <c r="N83" i="2"/>
  <c r="L84" i="2"/>
  <c r="J86" i="2"/>
  <c r="N86" i="2"/>
  <c r="L87" i="2"/>
  <c r="J88" i="2"/>
  <c r="N88" i="2"/>
  <c r="L89" i="2"/>
  <c r="J90" i="2"/>
  <c r="N90" i="2"/>
  <c r="L91" i="2"/>
  <c r="K61" i="2"/>
  <c r="O61" i="2"/>
  <c r="M62" i="2"/>
  <c r="K63" i="2"/>
  <c r="O63" i="2"/>
  <c r="M64" i="2"/>
  <c r="K65" i="2"/>
  <c r="O65" i="2"/>
  <c r="M66" i="2"/>
  <c r="K67" i="2"/>
  <c r="O67" i="2"/>
  <c r="M68" i="2"/>
  <c r="K69" i="2"/>
  <c r="O69" i="2"/>
  <c r="M70" i="2"/>
  <c r="K71" i="2"/>
  <c r="O71" i="2"/>
  <c r="K73" i="2"/>
  <c r="O73" i="2"/>
  <c r="M74" i="2"/>
  <c r="K75" i="2"/>
  <c r="O75" i="2"/>
  <c r="M76" i="2"/>
  <c r="K77" i="2"/>
  <c r="O77" i="2"/>
  <c r="M78" i="2"/>
  <c r="K79" i="2"/>
  <c r="O79" i="2"/>
  <c r="M80" i="2"/>
  <c r="K81" i="2"/>
  <c r="O81" i="2"/>
  <c r="M82" i="2"/>
  <c r="K83" i="2"/>
  <c r="O83" i="2"/>
  <c r="M84" i="2"/>
  <c r="K86" i="2"/>
  <c r="O86" i="2"/>
  <c r="M87" i="2"/>
  <c r="K88" i="2"/>
  <c r="O88" i="2"/>
  <c r="M89" i="2"/>
  <c r="K90" i="2"/>
  <c r="O90" i="2"/>
  <c r="O72" i="2" l="1"/>
  <c r="N72" i="2"/>
  <c r="K72" i="2"/>
  <c r="J72" i="2"/>
  <c r="M72" i="2"/>
  <c r="L72" i="2"/>
  <c r="K160" i="3" l="1"/>
  <c r="L160" i="3"/>
  <c r="M160" i="3"/>
  <c r="N160" i="3"/>
  <c r="O160" i="3"/>
  <c r="N135" i="3"/>
  <c r="O135" i="3"/>
  <c r="J93" i="3"/>
  <c r="J9" i="2" s="1"/>
  <c r="K93" i="3"/>
  <c r="L93" i="3"/>
  <c r="L9" i="2" s="1"/>
  <c r="M93" i="3"/>
  <c r="M9" i="2" s="1"/>
  <c r="N93" i="3"/>
  <c r="N9" i="2" s="1"/>
  <c r="O93" i="3"/>
  <c r="K112" i="3"/>
  <c r="L112" i="3"/>
  <c r="M112" i="3"/>
  <c r="N112" i="3"/>
  <c r="O112" i="3"/>
  <c r="K118" i="3"/>
  <c r="L118" i="3"/>
  <c r="M118" i="3"/>
  <c r="N118" i="3"/>
  <c r="O118" i="3"/>
  <c r="H92" i="3"/>
  <c r="H121" i="3" s="1"/>
  <c r="H148" i="3" s="1"/>
  <c r="I92" i="3"/>
  <c r="I121" i="3" s="1"/>
  <c r="I148" i="3" s="1"/>
  <c r="J92" i="3"/>
  <c r="J121" i="3" s="1"/>
  <c r="J148" i="3" s="1"/>
  <c r="K92" i="3"/>
  <c r="K121" i="3" s="1"/>
  <c r="K148" i="3" s="1"/>
  <c r="L92" i="3"/>
  <c r="L121" i="3" s="1"/>
  <c r="L148" i="3" s="1"/>
  <c r="M92" i="3"/>
  <c r="M121" i="3" s="1"/>
  <c r="M148" i="3" s="1"/>
  <c r="N92" i="3"/>
  <c r="N121" i="3" s="1"/>
  <c r="N148" i="3" s="1"/>
  <c r="O92" i="3"/>
  <c r="O121" i="3" s="1"/>
  <c r="O148" i="3" s="1"/>
  <c r="P92" i="3"/>
  <c r="P121" i="3" s="1"/>
  <c r="P148" i="3" s="1"/>
  <c r="K18" i="5"/>
  <c r="L18" i="5"/>
  <c r="M18" i="5"/>
  <c r="N18" i="5"/>
  <c r="O18" i="5"/>
  <c r="K27" i="5"/>
  <c r="L27" i="5"/>
  <c r="M27" i="5"/>
  <c r="N27" i="5"/>
  <c r="O27" i="5"/>
  <c r="N32" i="2" l="1"/>
  <c r="N38" i="2"/>
  <c r="N37" i="2"/>
  <c r="N36" i="2"/>
  <c r="N35" i="2"/>
  <c r="N31" i="2"/>
  <c r="N30" i="2"/>
  <c r="N29" i="2"/>
  <c r="J32" i="2"/>
  <c r="J29" i="2"/>
  <c r="J38" i="2"/>
  <c r="J37" i="2"/>
  <c r="J36" i="2"/>
  <c r="J35" i="2"/>
  <c r="J31" i="2"/>
  <c r="J30" i="2"/>
  <c r="M32" i="2"/>
  <c r="M30" i="2"/>
  <c r="M29" i="2"/>
  <c r="M38" i="2"/>
  <c r="M37" i="2"/>
  <c r="M36" i="2"/>
  <c r="M35" i="2"/>
  <c r="M31" i="2"/>
  <c r="L32" i="2"/>
  <c r="L38" i="2"/>
  <c r="L37" i="2"/>
  <c r="L36" i="2"/>
  <c r="L35" i="2"/>
  <c r="L31" i="2"/>
  <c r="L30" i="2"/>
  <c r="L29" i="2"/>
  <c r="O9" i="2"/>
  <c r="K9" i="2"/>
  <c r="K12" i="2" s="1"/>
  <c r="L25" i="2"/>
  <c r="L20" i="2"/>
  <c r="K20" i="2"/>
  <c r="N25" i="2"/>
  <c r="N20" i="2"/>
  <c r="J25" i="2"/>
  <c r="J20" i="2"/>
  <c r="M25" i="2"/>
  <c r="M20" i="2"/>
  <c r="M23" i="2"/>
  <c r="M40" i="2"/>
  <c r="O23" i="2"/>
  <c r="L23" i="2"/>
  <c r="L40" i="2"/>
  <c r="N23" i="2"/>
  <c r="J23" i="2"/>
  <c r="M13" i="2"/>
  <c r="M15" i="2"/>
  <c r="M39" i="2"/>
  <c r="M28" i="2"/>
  <c r="M17" i="2"/>
  <c r="M27" i="2"/>
  <c r="M18" i="2"/>
  <c r="M16" i="2"/>
  <c r="M49" i="2"/>
  <c r="M47" i="2"/>
  <c r="M24" i="2"/>
  <c r="M12" i="2"/>
  <c r="M45" i="2"/>
  <c r="M22" i="2"/>
  <c r="M41" i="2"/>
  <c r="M19" i="2"/>
  <c r="M14" i="2"/>
  <c r="M44" i="2"/>
  <c r="L19" i="2"/>
  <c r="L45" i="2"/>
  <c r="L18" i="2"/>
  <c r="L41" i="2"/>
  <c r="L47" i="2"/>
  <c r="L24" i="2"/>
  <c r="L12" i="2"/>
  <c r="L15" i="2"/>
  <c r="L14" i="2"/>
  <c r="L39" i="2"/>
  <c r="L28" i="2"/>
  <c r="L22" i="2"/>
  <c r="L16" i="2"/>
  <c r="L13" i="2"/>
  <c r="L49" i="2"/>
  <c r="L27" i="2"/>
  <c r="L17" i="2"/>
  <c r="L44" i="2"/>
  <c r="O14" i="2"/>
  <c r="O27" i="2"/>
  <c r="O18" i="2"/>
  <c r="O39" i="2"/>
  <c r="O28" i="2"/>
  <c r="O17" i="2"/>
  <c r="O15" i="2"/>
  <c r="O16" i="2"/>
  <c r="O47" i="2"/>
  <c r="O24" i="2"/>
  <c r="O49" i="2"/>
  <c r="O12" i="2"/>
  <c r="O13" i="2"/>
  <c r="O22" i="2"/>
  <c r="O45" i="2"/>
  <c r="O20" i="2"/>
  <c r="O41" i="2"/>
  <c r="O19" i="2"/>
  <c r="K14" i="2"/>
  <c r="K18" i="2"/>
  <c r="K39" i="2"/>
  <c r="K28" i="2"/>
  <c r="K47" i="2"/>
  <c r="K24" i="2"/>
  <c r="K49" i="2"/>
  <c r="K45" i="2"/>
  <c r="K16" i="2"/>
  <c r="K13" i="2"/>
  <c r="K19" i="2"/>
  <c r="K15" i="2"/>
  <c r="O44" i="2"/>
  <c r="N13" i="2"/>
  <c r="N15" i="2"/>
  <c r="N18" i="2"/>
  <c r="N39" i="2"/>
  <c r="N28" i="2"/>
  <c r="N17" i="2"/>
  <c r="N27" i="2"/>
  <c r="N49" i="2"/>
  <c r="N14" i="2"/>
  <c r="N47" i="2"/>
  <c r="N24" i="2"/>
  <c r="N45" i="2"/>
  <c r="N12" i="2"/>
  <c r="N22" i="2"/>
  <c r="N41" i="2"/>
  <c r="N19" i="2"/>
  <c r="N16" i="2"/>
  <c r="J17" i="2"/>
  <c r="J13" i="2"/>
  <c r="J15" i="2"/>
  <c r="J27" i="2"/>
  <c r="J45" i="2"/>
  <c r="J14" i="2"/>
  <c r="J18" i="2"/>
  <c r="J47" i="2"/>
  <c r="J24" i="2"/>
  <c r="J41" i="2"/>
  <c r="J19" i="2"/>
  <c r="J12" i="2"/>
  <c r="J22" i="2"/>
  <c r="J39" i="2"/>
  <c r="J28" i="2"/>
  <c r="J16" i="2"/>
  <c r="J49" i="2"/>
  <c r="N44" i="2"/>
  <c r="J44" i="2"/>
  <c r="O138" i="3"/>
  <c r="O40" i="2" s="1"/>
  <c r="K40" i="2"/>
  <c r="N138" i="3"/>
  <c r="N40" i="2" s="1"/>
  <c r="J40" i="2"/>
  <c r="K25" i="2" l="1"/>
  <c r="K44" i="2"/>
  <c r="K41" i="2"/>
  <c r="K22" i="2"/>
  <c r="K26" i="2" s="1"/>
  <c r="K17" i="2"/>
  <c r="K27" i="2"/>
  <c r="K23" i="2"/>
  <c r="K32" i="2"/>
  <c r="K36" i="2"/>
  <c r="K35" i="2"/>
  <c r="K31" i="2"/>
  <c r="K30" i="2"/>
  <c r="K29" i="2"/>
  <c r="K38" i="2"/>
  <c r="K37" i="2"/>
  <c r="O32" i="2"/>
  <c r="O31" i="2"/>
  <c r="O30" i="2"/>
  <c r="O29" i="2"/>
  <c r="O38" i="2"/>
  <c r="O37" i="2"/>
  <c r="O36" i="2"/>
  <c r="O35" i="2"/>
  <c r="O25" i="2"/>
  <c r="J26" i="2"/>
  <c r="N26" i="2"/>
  <c r="O26" i="2"/>
  <c r="L26" i="2"/>
  <c r="M26" i="2"/>
  <c r="P8" i="5"/>
  <c r="P22" i="5" l="1"/>
  <c r="P10" i="5"/>
  <c r="P14" i="5"/>
  <c r="P13" i="5"/>
  <c r="P11" i="5"/>
  <c r="P9" i="5"/>
  <c r="P12" i="5"/>
  <c r="P19" i="5"/>
  <c r="P23" i="5"/>
  <c r="P17" i="5"/>
  <c r="P20" i="5"/>
  <c r="P24" i="5"/>
  <c r="P21" i="5"/>
  <c r="P16" i="5"/>
  <c r="P15" i="5" l="1"/>
  <c r="P18" i="5" s="1"/>
  <c r="I93" i="3"/>
  <c r="I9" i="2" s="1"/>
  <c r="H93" i="3"/>
  <c r="H9" i="2" s="1"/>
  <c r="P9" i="2"/>
  <c r="I59" i="2"/>
  <c r="H59" i="2"/>
  <c r="I58" i="2"/>
  <c r="I91" i="2" s="1"/>
  <c r="H58" i="2"/>
  <c r="H84" i="2" s="1"/>
  <c r="I32" i="2"/>
  <c r="H32" i="2"/>
  <c r="H20" i="2" l="1"/>
  <c r="I138" i="3"/>
  <c r="I40" i="2" s="1"/>
  <c r="I25" i="2"/>
  <c r="H25" i="2"/>
  <c r="H138" i="3"/>
  <c r="H40" i="2" s="1"/>
  <c r="I81" i="2"/>
  <c r="I23" i="2"/>
  <c r="H23" i="2"/>
  <c r="H10" i="2"/>
  <c r="H89" i="2"/>
  <c r="H87" i="2"/>
  <c r="I90" i="2"/>
  <c r="H64" i="2"/>
  <c r="I73" i="2"/>
  <c r="I10" i="2"/>
  <c r="H45" i="2"/>
  <c r="I47" i="2"/>
  <c r="I16" i="2"/>
  <c r="H80" i="2"/>
  <c r="I65" i="2"/>
  <c r="H76" i="2"/>
  <c r="I20" i="2"/>
  <c r="H95" i="2"/>
  <c r="H68" i="2"/>
  <c r="I77" i="2"/>
  <c r="I86" i="2"/>
  <c r="I61" i="2"/>
  <c r="I69" i="2"/>
  <c r="I95" i="2"/>
  <c r="H15" i="2"/>
  <c r="H19" i="2"/>
  <c r="I12" i="2"/>
  <c r="H14" i="2"/>
  <c r="I15" i="2"/>
  <c r="H18" i="2"/>
  <c r="I19" i="2"/>
  <c r="H22" i="2"/>
  <c r="H27" i="2"/>
  <c r="I28" i="2"/>
  <c r="H31" i="2"/>
  <c r="I35" i="2"/>
  <c r="H38" i="2"/>
  <c r="I39" i="2"/>
  <c r="H44" i="2"/>
  <c r="I45" i="2"/>
  <c r="H63" i="2"/>
  <c r="I64" i="2"/>
  <c r="H67" i="2"/>
  <c r="I68" i="2"/>
  <c r="H71" i="2"/>
  <c r="H75" i="2"/>
  <c r="I76" i="2"/>
  <c r="H79" i="2"/>
  <c r="I80" i="2"/>
  <c r="H83" i="2"/>
  <c r="I84" i="2"/>
  <c r="H88" i="2"/>
  <c r="I89" i="2"/>
  <c r="H93" i="2"/>
  <c r="H13" i="2"/>
  <c r="I14" i="2"/>
  <c r="H17" i="2"/>
  <c r="I18" i="2"/>
  <c r="I22" i="2"/>
  <c r="I27" i="2"/>
  <c r="H30" i="2"/>
  <c r="I31" i="2"/>
  <c r="H37" i="2"/>
  <c r="I38" i="2"/>
  <c r="H41" i="2"/>
  <c r="I44" i="2"/>
  <c r="H49" i="2"/>
  <c r="H62" i="2"/>
  <c r="I63" i="2"/>
  <c r="H66" i="2"/>
  <c r="I67" i="2"/>
  <c r="H70" i="2"/>
  <c r="I71" i="2"/>
  <c r="H74" i="2"/>
  <c r="I75" i="2"/>
  <c r="H78" i="2"/>
  <c r="I79" i="2"/>
  <c r="H82" i="2"/>
  <c r="I83" i="2"/>
  <c r="I88" i="2"/>
  <c r="H91" i="2"/>
  <c r="I93" i="2"/>
  <c r="H12" i="2"/>
  <c r="I13" i="2"/>
  <c r="H16" i="2"/>
  <c r="I17" i="2"/>
  <c r="H24" i="2"/>
  <c r="H29" i="2"/>
  <c r="I30" i="2"/>
  <c r="H36" i="2"/>
  <c r="I37" i="2"/>
  <c r="I41" i="2"/>
  <c r="H47" i="2"/>
  <c r="I49" i="2"/>
  <c r="H61" i="2"/>
  <c r="I62" i="2"/>
  <c r="H65" i="2"/>
  <c r="I66" i="2"/>
  <c r="H69" i="2"/>
  <c r="I70" i="2"/>
  <c r="H73" i="2"/>
  <c r="I74" i="2"/>
  <c r="H77" i="2"/>
  <c r="I78" i="2"/>
  <c r="H81" i="2"/>
  <c r="I82" i="2"/>
  <c r="H86" i="2"/>
  <c r="I87" i="2"/>
  <c r="H90" i="2"/>
  <c r="I24" i="2"/>
  <c r="H28" i="2"/>
  <c r="I29" i="2"/>
  <c r="H35" i="2"/>
  <c r="I36" i="2"/>
  <c r="H39" i="2"/>
  <c r="I26" i="2" l="1"/>
  <c r="H26" i="2"/>
  <c r="H72" i="2"/>
  <c r="I72" i="2"/>
  <c r="P107" i="2" l="1"/>
  <c r="P108" i="2" s="1"/>
  <c r="P150" i="2"/>
  <c r="P151" i="2" s="1"/>
  <c r="P54" i="3"/>
  <c r="P55" i="3" s="1"/>
  <c r="P58" i="2"/>
  <c r="R9" i="2" s="1"/>
  <c r="P41" i="3" l="1"/>
  <c r="P59" i="3"/>
  <c r="P156" i="2"/>
  <c r="P65" i="2"/>
  <c r="P81" i="2"/>
  <c r="P76" i="2"/>
  <c r="P84" i="2"/>
  <c r="P79" i="2"/>
  <c r="P82" i="2"/>
  <c r="P78" i="2"/>
  <c r="P83" i="2"/>
  <c r="P77" i="2"/>
  <c r="P75" i="2"/>
  <c r="P80" i="2"/>
  <c r="P28" i="3"/>
  <c r="P27" i="3"/>
  <c r="P25" i="3"/>
  <c r="P29" i="3"/>
  <c r="P24" i="3"/>
  <c r="P26" i="3"/>
  <c r="P46" i="3"/>
  <c r="P42" i="3"/>
  <c r="P39" i="3"/>
  <c r="P45" i="3"/>
  <c r="P40" i="3"/>
  <c r="P47" i="3"/>
  <c r="P43" i="3"/>
  <c r="P38" i="3"/>
  <c r="P44" i="3"/>
  <c r="P64" i="3"/>
  <c r="P60" i="3"/>
  <c r="P62" i="3"/>
  <c r="P63" i="3"/>
  <c r="P58" i="3"/>
  <c r="P57" i="3"/>
  <c r="P56" i="3"/>
  <c r="P61" i="3"/>
  <c r="P126" i="2"/>
  <c r="P134" i="2"/>
  <c r="P130" i="2"/>
  <c r="P125" i="2"/>
  <c r="P133" i="2"/>
  <c r="P128" i="2"/>
  <c r="P124" i="2"/>
  <c r="P132" i="2"/>
  <c r="P127" i="2"/>
  <c r="P131" i="2"/>
  <c r="P129" i="2"/>
  <c r="P175" i="2"/>
  <c r="P170" i="2"/>
  <c r="P165" i="2"/>
  <c r="P173" i="2"/>
  <c r="P168" i="2"/>
  <c r="P172" i="2"/>
  <c r="P167" i="2"/>
  <c r="P171" i="2"/>
  <c r="P166" i="2"/>
  <c r="P169" i="2"/>
  <c r="P153" i="2"/>
  <c r="P164" i="2"/>
  <c r="P160" i="2"/>
  <c r="P157" i="2"/>
  <c r="P154" i="2"/>
  <c r="P178" i="2"/>
  <c r="P181" i="2"/>
  <c r="P155" i="2"/>
  <c r="P174" i="2"/>
  <c r="P161" i="2"/>
  <c r="P176" i="2"/>
  <c r="P179" i="2"/>
  <c r="P158" i="2"/>
  <c r="P159" i="2"/>
  <c r="P162" i="2"/>
  <c r="P177" i="2"/>
  <c r="P87" i="2"/>
  <c r="P63" i="2"/>
  <c r="P113" i="2"/>
  <c r="P142" i="2"/>
  <c r="P68" i="2"/>
  <c r="P116" i="2"/>
  <c r="P114" i="2"/>
  <c r="P70" i="2"/>
  <c r="P122" i="2"/>
  <c r="P90" i="2"/>
  <c r="P62" i="2"/>
  <c r="P25" i="2"/>
  <c r="P59" i="2"/>
  <c r="P137" i="2"/>
  <c r="P139" i="2"/>
  <c r="P138" i="2"/>
  <c r="P111" i="2"/>
  <c r="P119" i="2"/>
  <c r="P135" i="2"/>
  <c r="P117" i="2"/>
  <c r="P123" i="2"/>
  <c r="P140" i="2"/>
  <c r="P115" i="2"/>
  <c r="P118" i="2"/>
  <c r="P112" i="2"/>
  <c r="P120" i="2"/>
  <c r="P136" i="2"/>
  <c r="P110" i="2"/>
  <c r="P74" i="2"/>
  <c r="P89" i="2"/>
  <c r="P67" i="2"/>
  <c r="P66" i="2"/>
  <c r="P73" i="2"/>
  <c r="P88" i="2"/>
  <c r="P149" i="3"/>
  <c r="P154" i="3" s="1"/>
  <c r="P183" i="2"/>
  <c r="P64" i="2"/>
  <c r="P144" i="2"/>
  <c r="P31" i="3"/>
  <c r="P95" i="2"/>
  <c r="P93" i="2"/>
  <c r="P66" i="3"/>
  <c r="P86" i="2"/>
  <c r="P71" i="2"/>
  <c r="P69" i="2"/>
  <c r="P91" i="2"/>
  <c r="P61" i="2"/>
  <c r="P49" i="3"/>
  <c r="P93" i="3"/>
  <c r="P107" i="3" s="1"/>
  <c r="P122" i="3"/>
  <c r="P32" i="2" l="1"/>
  <c r="P23" i="2"/>
  <c r="P101" i="3"/>
  <c r="P105" i="3"/>
  <c r="P10" i="2"/>
  <c r="P33" i="2"/>
  <c r="P34" i="2"/>
  <c r="P31" i="2"/>
  <c r="P36" i="2"/>
  <c r="P30" i="2"/>
  <c r="P38" i="2"/>
  <c r="P37" i="2"/>
  <c r="P29" i="2"/>
  <c r="P35" i="2"/>
  <c r="P133" i="3"/>
  <c r="P132" i="3"/>
  <c r="P19" i="2"/>
  <c r="P18" i="2"/>
  <c r="P20" i="2"/>
  <c r="P43" i="2"/>
  <c r="P16" i="2"/>
  <c r="P163" i="2"/>
  <c r="P159" i="3"/>
  <c r="P134" i="3"/>
  <c r="P157" i="3"/>
  <c r="P156" i="3"/>
  <c r="P166" i="3"/>
  <c r="P121" i="2"/>
  <c r="P111" i="3"/>
  <c r="P155" i="3"/>
  <c r="P158" i="3"/>
  <c r="P168" i="3"/>
  <c r="P42" i="2"/>
  <c r="P163" i="3"/>
  <c r="P162" i="3"/>
  <c r="P164" i="3"/>
  <c r="P139" i="3"/>
  <c r="P151" i="3"/>
  <c r="P153" i="3"/>
  <c r="P152" i="3"/>
  <c r="P98" i="3"/>
  <c r="P161" i="3"/>
  <c r="P170" i="3"/>
  <c r="P165" i="3"/>
  <c r="P14" i="2"/>
  <c r="P100" i="3"/>
  <c r="P96" i="3"/>
  <c r="P106" i="3"/>
  <c r="P102" i="3"/>
  <c r="P104" i="3"/>
  <c r="P145" i="3"/>
  <c r="P137" i="3"/>
  <c r="P109" i="3"/>
  <c r="P17" i="2"/>
  <c r="P129" i="3"/>
  <c r="P103" i="3"/>
  <c r="P99" i="3"/>
  <c r="P141" i="3"/>
  <c r="P15" i="2"/>
  <c r="P72" i="2"/>
  <c r="P47" i="2"/>
  <c r="P24" i="2"/>
  <c r="P131" i="3"/>
  <c r="P126" i="3"/>
  <c r="P127" i="3"/>
  <c r="P27" i="2"/>
  <c r="P22" i="2"/>
  <c r="P128" i="3"/>
  <c r="P21" i="2"/>
  <c r="P41" i="2"/>
  <c r="P45" i="2"/>
  <c r="P39" i="2"/>
  <c r="P49" i="2"/>
  <c r="P28" i="2"/>
  <c r="P44" i="2"/>
  <c r="P40" i="2"/>
  <c r="P138" i="3"/>
  <c r="P116" i="3"/>
  <c r="P118" i="3"/>
  <c r="P113" i="3"/>
  <c r="P95" i="3"/>
  <c r="P110" i="3"/>
  <c r="P97" i="3"/>
  <c r="P112" i="3"/>
  <c r="P114" i="3"/>
  <c r="P12" i="2"/>
  <c r="P13" i="2"/>
  <c r="P124" i="3"/>
  <c r="P130" i="3"/>
  <c r="P143" i="3"/>
  <c r="P136" i="3"/>
  <c r="P125" i="3"/>
  <c r="P140" i="3"/>
  <c r="P26" i="2" l="1"/>
  <c r="P108" i="3"/>
  <c r="P135" i="3"/>
  <c r="P160" i="3"/>
</calcChain>
</file>

<file path=xl/comments1.xml><?xml version="1.0" encoding="utf-8"?>
<comments xmlns="http://schemas.openxmlformats.org/spreadsheetml/2006/main">
  <authors>
    <author>Филатова Ольга Николаевна</author>
  </authors>
  <commentList>
    <comment ref="M108" authorId="0" shapeId="0">
      <text>
        <r>
          <rPr>
            <b/>
            <sz val="9"/>
            <color indexed="81"/>
            <rFont val="Tahoma"/>
            <family val="2"/>
            <charset val="204"/>
          </rPr>
          <t>Филатова Ольга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  <charset val="204"/>
          </rPr>
          <t>Филатова Ольга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151" authorId="0" shapeId="0">
      <text>
        <r>
          <rPr>
            <b/>
            <sz val="9"/>
            <color indexed="81"/>
            <rFont val="Tahoma"/>
            <family val="2"/>
            <charset val="204"/>
          </rPr>
          <t>Филатова Ольга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51" authorId="0" shapeId="0">
      <text>
        <r>
          <rPr>
            <b/>
            <sz val="9"/>
            <color indexed="81"/>
            <rFont val="Tahoma"/>
            <family val="2"/>
            <charset val="204"/>
          </rPr>
          <t>Филатова Ольга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Рапиёва Елена Николаевна</author>
    <author>Филатова Ольга Николаевна</author>
  </authors>
  <commentList>
    <comment ref="I23" authorId="0" shapeId="0">
      <text>
        <r>
          <rPr>
            <b/>
            <sz val="9"/>
            <color indexed="81"/>
            <rFont val="Tahoma"/>
            <charset val="1"/>
          </rPr>
          <t>Рапиёва Елена Николаевна: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  <charset val="204"/>
          </rPr>
          <t>Рапиёва Елена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7" authorId="1" shapeId="0">
      <text>
        <r>
          <rPr>
            <b/>
            <sz val="9"/>
            <color indexed="81"/>
            <rFont val="Tahoma"/>
            <family val="2"/>
            <charset val="204"/>
          </rPr>
          <t>Филатова Ольга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  <charset val="204"/>
          </rPr>
          <t>Филатова Ольга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  <charset val="204"/>
          </rPr>
          <t>Рапиёва Елена Николаевна: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<sst xmlns="http://schemas.openxmlformats.org/spreadsheetml/2006/main" count="888" uniqueCount="228">
  <si>
    <t>Приложение 1</t>
  </si>
  <si>
    <t>Оценочный расход</t>
  </si>
  <si>
    <t xml:space="preserve">сырья и топлива на производство </t>
  </si>
  <si>
    <t>доменного агломерата  в АГЦ ПАО "НЛМК"</t>
  </si>
  <si>
    <t xml:space="preserve">месяцы </t>
  </si>
  <si>
    <t>Ед. изм.</t>
  </si>
  <si>
    <t xml:space="preserve">Производство бункерного доменного агломерата* </t>
  </si>
  <si>
    <t>тыс.т</t>
  </si>
  <si>
    <t>Наименование материалов</t>
  </si>
  <si>
    <t>руда железная "Стойленского горно-обогатительного комбината"</t>
  </si>
  <si>
    <t>кг/т</t>
  </si>
  <si>
    <t>руда марганцевая (Казахстан, Жайремский ГОК)**</t>
  </si>
  <si>
    <t>Руда Яковлевская</t>
  </si>
  <si>
    <t>концентрат железорудный агломерационный "Стойленского горно-обогатительного комбината"</t>
  </si>
  <si>
    <t>концентрат железорудный 
"Лебединского горно-обогатительного комбината"</t>
  </si>
  <si>
    <t>отсев окатышей СГОК</t>
  </si>
  <si>
    <t>итого железорудной части шихты</t>
  </si>
  <si>
    <t>шлам шламонакопителей (карты)</t>
  </si>
  <si>
    <t>шлам отвальный АГЦ</t>
  </si>
  <si>
    <t>отсев агломерата***</t>
  </si>
  <si>
    <t xml:space="preserve">пыль колошниковая**** </t>
  </si>
  <si>
    <t>пыль аспирационная****</t>
  </si>
  <si>
    <t>известкованная замасленная окалина</t>
  </si>
  <si>
    <t>итого металлосодержащего сырья</t>
  </si>
  <si>
    <t>щебень для аглом-ции фр.0-10</t>
  </si>
  <si>
    <t>известь для агломерационного производства*****</t>
  </si>
  <si>
    <t>известняк марганцовистый *
(ООО «Башминералресурс», фр. 0-6 мм)</t>
  </si>
  <si>
    <t>камень известняковый технологический (известняк) с отсевом известняка</t>
  </si>
  <si>
    <t>доломит сырой</t>
  </si>
  <si>
    <t>итого флюсов</t>
  </si>
  <si>
    <t>твердое топливо******</t>
  </si>
  <si>
    <t>содержание Fe</t>
  </si>
  <si>
    <t>%</t>
  </si>
  <si>
    <t>основность</t>
  </si>
  <si>
    <t>Примечания:</t>
  </si>
  <si>
    <t>* - производство агломерата снижено в нескольких месяцах в связи с обеспечением основности агломерата не ниже 1,70 ед.;</t>
  </si>
  <si>
    <t>** - для обеспечения содержания Mn в агломерате 0,40%;</t>
  </si>
  <si>
    <t>*** - оценочный отсев агломерата при отсутствии в ДП его рециклинга:</t>
  </si>
  <si>
    <t xml:space="preserve">Наименование </t>
  </si>
  <si>
    <t>Отсев агломерата при отсутствии в ДП его рециклинга</t>
  </si>
  <si>
    <t>**** - колошниковая и аспирационная пыль используется для приготовления брикетов ФБ (остаток потребляется АГЦ);</t>
  </si>
  <si>
    <t>***** - дефицит потребления извести покрывается закупкой со стороны;</t>
  </si>
  <si>
    <t>****** - количество привозной коксовой мелочи определяется по балансу производства.</t>
  </si>
  <si>
    <t>Приложение 2</t>
  </si>
  <si>
    <t>сырья, материалов и технологического топлива на производство</t>
  </si>
  <si>
    <t>План производства чугуна</t>
  </si>
  <si>
    <t>Производительность</t>
  </si>
  <si>
    <t>т/сут</t>
  </si>
  <si>
    <t>агломерат скиповый</t>
  </si>
  <si>
    <t>агломерат мелкой фракции</t>
  </si>
  <si>
    <t>агломерат скиповый с рудного двора</t>
  </si>
  <si>
    <t>руда железная доменная</t>
  </si>
  <si>
    <t>окатыши Лебединского ГОКа</t>
  </si>
  <si>
    <t>окатыши Михайловского ГОКа</t>
  </si>
  <si>
    <t>окатыши Качканарского ГОКа</t>
  </si>
  <si>
    <t>окатыши Стойленского ГОКа</t>
  </si>
  <si>
    <t>скрап стальной для ДП (покупной)</t>
  </si>
  <si>
    <t>брикеты ФБ</t>
  </si>
  <si>
    <t>всего металлошихты</t>
  </si>
  <si>
    <t>щебень шлаковый фр. 20-60</t>
  </si>
  <si>
    <t>щебень шунгитовый</t>
  </si>
  <si>
    <t>кокс сухой скиповый</t>
  </si>
  <si>
    <t>в т.ч. КОКС 10-25 ДЦ-2</t>
  </si>
  <si>
    <t xml:space="preserve">        КОКС 10-25 КХЦ</t>
  </si>
  <si>
    <t xml:space="preserve">        фракция кокса ФК-1,3 (&gt;10 мм, &gt;20мм) 
         из отсева (АГЦ)</t>
  </si>
  <si>
    <t xml:space="preserve">         КОКС 10-25 Алтай-кокс</t>
  </si>
  <si>
    <t>отсев кокса ДП</t>
  </si>
  <si>
    <t>природный газ</t>
  </si>
  <si>
    <r>
      <t>м</t>
    </r>
    <r>
      <rPr>
        <b/>
        <vertAlign val="superscript"/>
        <sz val="12"/>
        <rFont val="Calibri"/>
        <family val="2"/>
        <charset val="204"/>
        <scheme val="minor"/>
      </rPr>
      <t>3</t>
    </r>
    <r>
      <rPr>
        <b/>
        <sz val="12"/>
        <rFont val="Calibri"/>
        <family val="2"/>
        <charset val="204"/>
        <scheme val="minor"/>
      </rPr>
      <t>/т</t>
    </r>
  </si>
  <si>
    <t>кислород технологический</t>
  </si>
  <si>
    <t>отсев агломерата</t>
  </si>
  <si>
    <t>в т.ч. агломерат мелкой фракции для ДП</t>
  </si>
  <si>
    <t>отсев окатышей Стойленского ГОКа</t>
  </si>
  <si>
    <t>скрап</t>
  </si>
  <si>
    <t>пыль колошниковая</t>
  </si>
  <si>
    <t xml:space="preserve">пыль аспирационная </t>
  </si>
  <si>
    <t>выход шлака</t>
  </si>
  <si>
    <t>содержание Fe в металлошихте</t>
  </si>
  <si>
    <t>содержание Fe в офлюсо-</t>
  </si>
  <si>
    <t>ванной шихте</t>
  </si>
  <si>
    <t>металлоконцентрат ЧМЗ</t>
  </si>
  <si>
    <r>
      <t>м</t>
    </r>
    <r>
      <rPr>
        <vertAlign val="superscript"/>
        <sz val="12"/>
        <rFont val="Calibri"/>
        <family val="2"/>
        <charset val="204"/>
        <scheme val="minor"/>
      </rPr>
      <t>3</t>
    </r>
    <r>
      <rPr>
        <sz val="12"/>
        <rFont val="Calibri"/>
        <family val="2"/>
        <charset val="204"/>
        <scheme val="minor"/>
      </rPr>
      <t>/т</t>
    </r>
  </si>
  <si>
    <t>пыль колошниковая и с газоочистки</t>
  </si>
  <si>
    <t>Приложение 5</t>
  </si>
  <si>
    <t>ДП-6</t>
  </si>
  <si>
    <t xml:space="preserve">         фракция кокса ФК-1,3 (&gt;10 мм, &gt;20мм) 
         из отсева (АГЦ)</t>
  </si>
  <si>
    <t xml:space="preserve">        КОКС 10-25 Алтай-кокс</t>
  </si>
  <si>
    <t>ДП "Россиянка"</t>
  </si>
  <si>
    <t>Приложение 3</t>
  </si>
  <si>
    <t>технологического топлива на производство чугуна</t>
  </si>
  <si>
    <t>ДП-2</t>
  </si>
  <si>
    <t>месяцы</t>
  </si>
  <si>
    <t>тыс. т</t>
  </si>
  <si>
    <t>в т.ч. орешек коксовый</t>
  </si>
  <si>
    <t>ДП-3</t>
  </si>
  <si>
    <t>в т.ч. фракция кокса ФК-1,3 (&gt;10 мм, &gt;20мм) из отсева (АГЦ)</t>
  </si>
  <si>
    <t>ДП-4</t>
  </si>
  <si>
    <t xml:space="preserve"> </t>
  </si>
  <si>
    <t>ДП-5</t>
  </si>
  <si>
    <t>Приложение 4</t>
  </si>
  <si>
    <t>сырья, материалов на производство чугуна</t>
  </si>
  <si>
    <t xml:space="preserve"> тыс.т</t>
  </si>
  <si>
    <t>агломерат офлюсованный</t>
  </si>
  <si>
    <t>Выход шлака</t>
  </si>
  <si>
    <t>ванной шихте,%</t>
  </si>
  <si>
    <t xml:space="preserve">отсев агломерата </t>
  </si>
  <si>
    <t xml:space="preserve">        фракция кокса ФК-1,3 (&gt;10 мм, &gt;20мм) из отсева (АГЦ)</t>
  </si>
  <si>
    <t>шлам прудов-шламонакопителей  (КОШ ДЦ-1 и КХЦ)</t>
  </si>
  <si>
    <t>скрап стальной для АГЦ (фр. 0-10 мм), итого</t>
  </si>
  <si>
    <t>руда марганцевая</t>
  </si>
  <si>
    <t>сырья и материалов на производство брикетов металлургических</t>
  </si>
  <si>
    <t>в Цехе изготовления брикетов ПАО ”НЛМК”</t>
  </si>
  <si>
    <t xml:space="preserve">Шлам текущий ДЦ-2 </t>
  </si>
  <si>
    <t xml:space="preserve">Пыль колошниковая </t>
  </si>
  <si>
    <t xml:space="preserve">Пыль аспирационная </t>
  </si>
  <si>
    <t>Итого металлосодержащего сырья</t>
  </si>
  <si>
    <t>Активированная бентонитовая глина по ТУАЗ 3321474-002-2010</t>
  </si>
  <si>
    <t>Портландцемент ЦЕМ I 42,5Н по 
ГОСТ 31108-2016</t>
  </si>
  <si>
    <t>Итого сырья и материалов</t>
  </si>
  <si>
    <t>Влага</t>
  </si>
  <si>
    <t>Потери при прокаливании (п.п.п.)</t>
  </si>
  <si>
    <t>Основность</t>
  </si>
  <si>
    <t>Содержание Zn</t>
  </si>
  <si>
    <r>
      <t>Содержание щелочей (K</t>
    </r>
    <r>
      <rPr>
        <vertAlign val="subscript"/>
        <sz val="12"/>
        <color indexed="8"/>
        <rFont val="Calibri"/>
        <family val="2"/>
        <charset val="204"/>
      </rPr>
      <t>2</t>
    </r>
    <r>
      <rPr>
        <sz val="12"/>
        <color indexed="8"/>
        <rFont val="Calibri"/>
        <family val="2"/>
        <charset val="204"/>
      </rPr>
      <t>O+Na</t>
    </r>
    <r>
      <rPr>
        <vertAlign val="subscript"/>
        <sz val="12"/>
        <color indexed="8"/>
        <rFont val="Calibri"/>
        <family val="2"/>
        <charset val="204"/>
      </rPr>
      <t>2</t>
    </r>
    <r>
      <rPr>
        <sz val="12"/>
        <color indexed="8"/>
        <rFont val="Calibri"/>
        <family val="2"/>
        <charset val="204"/>
      </rPr>
      <t>O)</t>
    </r>
  </si>
  <si>
    <t xml:space="preserve"> - ДП-3</t>
  </si>
  <si>
    <t xml:space="preserve"> - ДП-4</t>
  </si>
  <si>
    <t xml:space="preserve"> - ДП-5</t>
  </si>
  <si>
    <t xml:space="preserve"> - ДП-6</t>
  </si>
  <si>
    <t xml:space="preserve"> - ДП "Россиянка"</t>
  </si>
  <si>
    <t>Производство брикетов металлургических*</t>
  </si>
  <si>
    <r>
      <t>Содержание Fe</t>
    </r>
    <r>
      <rPr>
        <vertAlign val="subscript"/>
        <sz val="12"/>
        <color theme="1"/>
        <rFont val="Calibri"/>
        <family val="2"/>
        <charset val="204"/>
        <scheme val="minor"/>
      </rPr>
      <t>общ</t>
    </r>
  </si>
  <si>
    <t>г/т чугуна</t>
  </si>
  <si>
    <t xml:space="preserve">* - оценочная цинковая нагрузка по печам в ДЦ-1,2: </t>
  </si>
  <si>
    <t>Примечание:</t>
  </si>
  <si>
    <t xml:space="preserve">Приложение </t>
  </si>
  <si>
    <t>Концентрат железорудный агломерационный "Стойленского горно-обогатительного комбината"</t>
  </si>
  <si>
    <t>Шлам прудов-шламонакопителей  (КОШ ДЦ-1 и КХЦ)</t>
  </si>
  <si>
    <t>Шлам шламонакопителей (карты)</t>
  </si>
  <si>
    <t>руда марганцевая (Казахстан, ТОО "Планета-ЭСА")**</t>
  </si>
  <si>
    <t xml:space="preserve">             - при переработке шлакового отвала ЦПМШ</t>
  </si>
  <si>
    <t>в т.ч.  - с нового ДСК ЦПМШ</t>
  </si>
  <si>
    <t>скрап стальной ЦПМШ (с нового ДСК)</t>
  </si>
  <si>
    <t>скрап со шлакового отвала ЦПМШ</t>
  </si>
  <si>
    <t>отсев кокса ДП*</t>
  </si>
  <si>
    <t>пылеугольное топливо ДЦ-1 (ПУТ)*</t>
  </si>
  <si>
    <t>природный газ*</t>
  </si>
  <si>
    <t>кислород технологический*</t>
  </si>
  <si>
    <t>пылеугольное топливо ДЦ-2 (ПУТ)*</t>
  </si>
  <si>
    <t>в т.ч. для УГКС*</t>
  </si>
  <si>
    <t>* - по расчету.</t>
  </si>
  <si>
    <t>2020 г.</t>
  </si>
  <si>
    <t xml:space="preserve"> 2020 г.</t>
  </si>
  <si>
    <t>окалина 27А ГОСТ 2787 (покупная)</t>
  </si>
  <si>
    <t>окалина НЛМК, итого</t>
  </si>
  <si>
    <t>в т.ч.  - окалина ЦГП</t>
  </si>
  <si>
    <t xml:space="preserve">             - окалина УНРС КЦ-1,2 кр. фр.</t>
  </si>
  <si>
    <t xml:space="preserve">             - окалина ЦПМШ </t>
  </si>
  <si>
    <t xml:space="preserve">             - оксид ЦХПП, ЦДС</t>
  </si>
  <si>
    <t xml:space="preserve">        КОКС 10-25 КХЦ (с КБ №№5-6)</t>
  </si>
  <si>
    <t xml:space="preserve">        КОКС 10-25 КХЦ (с обратной рампы)</t>
  </si>
  <si>
    <t>окалина</t>
  </si>
  <si>
    <t>* - по бюджету 2020 г.</t>
  </si>
  <si>
    <t>кокс сухой скиповый**</t>
  </si>
  <si>
    <t>Приложение 6</t>
  </si>
  <si>
    <t xml:space="preserve">технологического топлива на производство чугуна </t>
  </si>
  <si>
    <t>Показатель</t>
  </si>
  <si>
    <t>Ед.изм</t>
  </si>
  <si>
    <t>Итого</t>
  </si>
  <si>
    <t>:C_3_183</t>
  </si>
  <si>
    <t>ДП2</t>
  </si>
  <si>
    <t>Производство</t>
  </si>
  <si>
    <t>:C_87_183</t>
  </si>
  <si>
    <t>Кокс</t>
  </si>
  <si>
    <t>:C_86_183</t>
  </si>
  <si>
    <t>ПУТ</t>
  </si>
  <si>
    <t>:C_85_183</t>
  </si>
  <si>
    <t>Природный газ</t>
  </si>
  <si>
    <t>м3/т</t>
  </si>
  <si>
    <t>:C_84_183</t>
  </si>
  <si>
    <t>Кислород</t>
  </si>
  <si>
    <t>:C_3_184</t>
  </si>
  <si>
    <t>ДП3</t>
  </si>
  <si>
    <t>:C_87_184</t>
  </si>
  <si>
    <t>:C_488_184</t>
  </si>
  <si>
    <t>:C_85_184</t>
  </si>
  <si>
    <t>:C_84_184</t>
  </si>
  <si>
    <t>:C_3_185</t>
  </si>
  <si>
    <t>ДП4</t>
  </si>
  <si>
    <t>:C_87_185</t>
  </si>
  <si>
    <t>:C_488_185</t>
  </si>
  <si>
    <t>:C_85_185</t>
  </si>
  <si>
    <t>:C_84_185</t>
  </si>
  <si>
    <t>:C_3_186</t>
  </si>
  <si>
    <t>ДП5</t>
  </si>
  <si>
    <t>:C_87_186</t>
  </si>
  <si>
    <t>:C_488_186</t>
  </si>
  <si>
    <t>:C_85_186</t>
  </si>
  <si>
    <t>:C_84_186</t>
  </si>
  <si>
    <t>:C_3_172</t>
  </si>
  <si>
    <t>ДП6</t>
  </si>
  <si>
    <t>:C_87_172</t>
  </si>
  <si>
    <t>:C_488_172</t>
  </si>
  <si>
    <t>:C_85_172</t>
  </si>
  <si>
    <t>:C_84_172</t>
  </si>
  <si>
    <t>:C_3_945</t>
  </si>
  <si>
    <t>ДП7</t>
  </si>
  <si>
    <t>:C_87_945</t>
  </si>
  <si>
    <t>:C_488_945</t>
  </si>
  <si>
    <t>:C_85_945</t>
  </si>
  <si>
    <t>:C_84_945</t>
  </si>
  <si>
    <t>:C_850_910</t>
  </si>
  <si>
    <t>КХЦ</t>
  </si>
  <si>
    <t>выход коксового газа</t>
  </si>
  <si>
    <t>:C_1361_946</t>
  </si>
  <si>
    <t>АГЦ</t>
  </si>
  <si>
    <t>твердое топливо</t>
  </si>
  <si>
    <t>кг/т агл-та</t>
  </si>
  <si>
    <t>:C_86_62</t>
  </si>
  <si>
    <t>ДЦ1</t>
  </si>
  <si>
    <t>Удельный расход каменноугольной смолы Доменный цех №1</t>
  </si>
  <si>
    <t>передельного в ДЦ-1 и ДЦ-2 в апреле-декабре 2019 г.</t>
  </si>
  <si>
    <t>на период май-декабрь 2020 года</t>
  </si>
  <si>
    <t>03.04.2020 г.</t>
  </si>
  <si>
    <t>передельного для ДЦ-1 на период май -декабрь 2020 года</t>
  </si>
  <si>
    <r>
      <t xml:space="preserve">передельного для ДЦ-1 </t>
    </r>
    <r>
      <rPr>
        <b/>
        <sz val="11"/>
        <rFont val="Calibri"/>
        <family val="2"/>
        <charset val="204"/>
        <scheme val="minor"/>
      </rPr>
      <t>на период май-декабрь 2020 года</t>
    </r>
  </si>
  <si>
    <r>
      <t>чугуна передельного для  ДЦ-2 на период</t>
    </r>
    <r>
      <rPr>
        <b/>
        <sz val="12"/>
        <rFont val="Calibri"/>
        <family val="2"/>
        <charset val="204"/>
        <scheme val="minor"/>
      </rPr>
      <t xml:space="preserve"> май-декабрь 2020 года</t>
    </r>
  </si>
  <si>
    <r>
      <t xml:space="preserve">чугуна передельного для  ДЦ-2 </t>
    </r>
    <r>
      <rPr>
        <b/>
        <sz val="12"/>
        <rFont val="Calibri"/>
        <family val="2"/>
        <charset val="204"/>
        <scheme val="minor"/>
      </rPr>
      <t>на период май-декабрь 2020 года</t>
    </r>
  </si>
  <si>
    <r>
      <t xml:space="preserve">чугуна передельного для  ДЦ-1 </t>
    </r>
    <r>
      <rPr>
        <b/>
        <sz val="12"/>
        <rFont val="Calibri"/>
        <family val="2"/>
        <charset val="204"/>
        <scheme val="minor"/>
      </rPr>
      <t>на период май-декабрь 2020 года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</si>
</sst>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#"/>
    <numFmt numFmtId="166" formatCode="#,###.0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Times New Roman"/>
      <family val="2"/>
      <charset val="204"/>
    </font>
    <font>
      <sz val="12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sz val="12"/>
      <color indexed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vertAlign val="superscript"/>
      <sz val="12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sz val="12"/>
      <color indexed="49"/>
      <name val="Calibri"/>
      <family val="2"/>
      <charset val="204"/>
      <scheme val="minor"/>
    </font>
    <font>
      <vertAlign val="superscript"/>
      <sz val="12"/>
      <name val="Calibri"/>
      <family val="2"/>
      <charset val="204"/>
      <scheme val="minor"/>
    </font>
    <font>
      <sz val="10"/>
      <name val="Arial Cyr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vertAlign val="subscript"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64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92D050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/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indexed="64"/>
      </bottom>
      <diagonal/>
    </border>
    <border>
      <left style="thin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92D050"/>
      </right>
      <top style="thin">
        <color indexed="64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indexed="64"/>
      </top>
      <bottom style="thin">
        <color rgb="FF92D050"/>
      </bottom>
      <diagonal/>
    </border>
    <border>
      <left/>
      <right style="thin">
        <color rgb="FF92D050"/>
      </right>
      <top style="thin">
        <color indexed="64"/>
      </top>
      <bottom style="thin">
        <color rgb="FF92D050"/>
      </bottom>
      <diagonal/>
    </border>
    <border>
      <left style="thin">
        <color rgb="FF92D050"/>
      </left>
      <right style="thin">
        <color indexed="64"/>
      </right>
      <top style="thin">
        <color indexed="64"/>
      </top>
      <bottom style="thin">
        <color rgb="FF92D050"/>
      </bottom>
      <diagonal/>
    </border>
    <border>
      <left/>
      <right style="thin">
        <color indexed="64"/>
      </right>
      <top style="thin">
        <color indexed="64"/>
      </top>
      <bottom style="thin">
        <color rgb="FF92D050"/>
      </bottom>
      <diagonal/>
    </border>
    <border>
      <left style="thin">
        <color indexed="64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indexed="64"/>
      </right>
      <top style="thin">
        <color rgb="FF92D050"/>
      </top>
      <bottom style="thin">
        <color rgb="FF92D050"/>
      </bottom>
      <diagonal/>
    </border>
    <border>
      <left/>
      <right style="thin">
        <color indexed="64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rgb="FF92D050"/>
      </right>
      <top style="thin">
        <color rgb="FF92D050"/>
      </top>
      <bottom style="thin">
        <color indexed="64"/>
      </bottom>
      <diagonal/>
    </border>
    <border>
      <left style="thin">
        <color rgb="FF92D050"/>
      </left>
      <right style="thin">
        <color indexed="64"/>
      </right>
      <top style="thin">
        <color rgb="FF92D050"/>
      </top>
      <bottom style="thin">
        <color indexed="64"/>
      </bottom>
      <diagonal/>
    </border>
    <border>
      <left/>
      <right style="thin">
        <color indexed="64"/>
      </right>
      <top style="thin">
        <color rgb="FF92D050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22" fillId="0" borderId="0" applyProtection="0"/>
    <xf numFmtId="0" fontId="10" fillId="0" borderId="0"/>
    <xf numFmtId="0" fontId="10" fillId="0" borderId="0"/>
    <xf numFmtId="0" fontId="1" fillId="0" borderId="0"/>
    <xf numFmtId="0" fontId="23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341">
    <xf numFmtId="0" fontId="0" fillId="0" borderId="0" xfId="0"/>
    <xf numFmtId="0" fontId="13" fillId="0" borderId="0" xfId="1" applyFont="1" applyFill="1" applyBorder="1"/>
    <xf numFmtId="0" fontId="11" fillId="0" borderId="12" xfId="1" applyFont="1" applyFill="1" applyBorder="1"/>
    <xf numFmtId="0" fontId="11" fillId="0" borderId="12" xfId="1" applyFont="1" applyFill="1" applyBorder="1" applyAlignment="1">
      <alignment horizontal="center"/>
    </xf>
    <xf numFmtId="17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wrapText="1"/>
    </xf>
    <xf numFmtId="2" fontId="8" fillId="0" borderId="16" xfId="1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164" fontId="8" fillId="0" borderId="0" xfId="1" applyNumberFormat="1" applyFont="1" applyFill="1"/>
    <xf numFmtId="0" fontId="14" fillId="0" borderId="0" xfId="1" applyFont="1" applyFill="1"/>
    <xf numFmtId="0" fontId="8" fillId="0" borderId="0" xfId="1" applyFont="1" applyFill="1" applyBorder="1" applyAlignment="1">
      <alignment horizontal="left" wrapText="1"/>
    </xf>
    <xf numFmtId="0" fontId="8" fillId="0" borderId="10" xfId="1" applyFont="1" applyFill="1" applyBorder="1" applyAlignment="1">
      <alignment horizontal="left" wrapText="1"/>
    </xf>
    <xf numFmtId="0" fontId="8" fillId="0" borderId="18" xfId="1" applyFont="1" applyFill="1" applyBorder="1"/>
    <xf numFmtId="164" fontId="9" fillId="0" borderId="0" xfId="1" applyNumberFormat="1" applyFont="1" applyFill="1"/>
    <xf numFmtId="0" fontId="8" fillId="0" borderId="0" xfId="1" applyFont="1" applyFill="1" applyBorder="1" applyAlignment="1">
      <alignment wrapText="1"/>
    </xf>
    <xf numFmtId="0" fontId="8" fillId="0" borderId="11" xfId="1" applyFont="1" applyFill="1" applyBorder="1" applyAlignment="1">
      <alignment horizontal="center"/>
    </xf>
    <xf numFmtId="0" fontId="11" fillId="0" borderId="22" xfId="1" applyFont="1" applyFill="1" applyBorder="1"/>
    <xf numFmtId="1" fontId="8" fillId="0" borderId="0" xfId="1" applyNumberFormat="1" applyFont="1" applyFill="1" applyBorder="1"/>
    <xf numFmtId="1" fontId="9" fillId="0" borderId="0" xfId="1" applyNumberFormat="1" applyFont="1" applyFill="1"/>
    <xf numFmtId="0" fontId="4" fillId="0" borderId="0" xfId="1" applyFont="1" applyFill="1"/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0" fontId="8" fillId="0" borderId="0" xfId="1" applyFont="1" applyFill="1"/>
    <xf numFmtId="0" fontId="11" fillId="0" borderId="0" xfId="1" applyFont="1" applyFill="1" applyBorder="1"/>
    <xf numFmtId="0" fontId="8" fillId="0" borderId="0" xfId="1" applyFont="1" applyFill="1" applyAlignment="1">
      <alignment horizontal="center"/>
    </xf>
    <xf numFmtId="0" fontId="8" fillId="0" borderId="0" xfId="1" applyFont="1" applyFill="1" applyBorder="1" applyAlignment="1"/>
    <xf numFmtId="0" fontId="8" fillId="0" borderId="16" xfId="1" applyFont="1" applyFill="1" applyBorder="1" applyAlignment="1">
      <alignment horizontal="center"/>
    </xf>
    <xf numFmtId="17" fontId="8" fillId="0" borderId="17" xfId="1" applyNumberFormat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0" fontId="8" fillId="0" borderId="14" xfId="1" applyFont="1" applyFill="1" applyBorder="1"/>
    <xf numFmtId="0" fontId="8" fillId="0" borderId="14" xfId="1" applyFont="1" applyFill="1" applyBorder="1" applyAlignment="1">
      <alignment horizontal="center"/>
    </xf>
    <xf numFmtId="0" fontId="8" fillId="0" borderId="14" xfId="1" applyFont="1" applyFill="1" applyBorder="1" applyAlignment="1">
      <alignment wrapText="1"/>
    </xf>
    <xf numFmtId="0" fontId="8" fillId="0" borderId="1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0" fontId="11" fillId="0" borderId="14" xfId="1" applyFont="1" applyFill="1" applyBorder="1"/>
    <xf numFmtId="0" fontId="11" fillId="0" borderId="14" xfId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13" fillId="0" borderId="0" xfId="1" applyFont="1" applyFill="1"/>
    <xf numFmtId="164" fontId="8" fillId="0" borderId="0" xfId="1" applyNumberFormat="1" applyFont="1" applyFill="1" applyAlignment="1">
      <alignment horizontal="center"/>
    </xf>
    <xf numFmtId="0" fontId="12" fillId="0" borderId="0" xfId="1" applyFont="1" applyFill="1"/>
    <xf numFmtId="0" fontId="8" fillId="0" borderId="10" xfId="1" applyFont="1" applyFill="1" applyBorder="1" applyAlignment="1">
      <alignment vertical="center" wrapText="1"/>
    </xf>
    <xf numFmtId="0" fontId="8" fillId="0" borderId="16" xfId="1" applyFont="1" applyFill="1" applyBorder="1"/>
    <xf numFmtId="164" fontId="8" fillId="0" borderId="16" xfId="1" applyNumberFormat="1" applyFont="1" applyFill="1" applyBorder="1" applyAlignment="1">
      <alignment horizontal="center"/>
    </xf>
    <xf numFmtId="164" fontId="8" fillId="0" borderId="17" xfId="1" applyNumberFormat="1" applyFont="1" applyFill="1" applyBorder="1" applyAlignment="1">
      <alignment horizontal="center"/>
    </xf>
    <xf numFmtId="164" fontId="8" fillId="0" borderId="35" xfId="1" applyNumberFormat="1" applyFont="1" applyFill="1" applyBorder="1" applyAlignment="1">
      <alignment horizontal="center"/>
    </xf>
    <xf numFmtId="164" fontId="8" fillId="0" borderId="18" xfId="1" applyNumberFormat="1" applyFont="1" applyFill="1" applyBorder="1" applyAlignment="1">
      <alignment horizontal="center"/>
    </xf>
    <xf numFmtId="0" fontId="8" fillId="0" borderId="15" xfId="1" applyFont="1" applyFill="1" applyBorder="1" applyAlignment="1">
      <alignment horizontal="left"/>
    </xf>
    <xf numFmtId="1" fontId="8" fillId="0" borderId="15" xfId="1" applyNumberFormat="1" applyFont="1" applyFill="1" applyBorder="1" applyAlignment="1">
      <alignment horizontal="center"/>
    </xf>
    <xf numFmtId="1" fontId="8" fillId="0" borderId="32" xfId="1" applyNumberFormat="1" applyFont="1" applyFill="1" applyBorder="1" applyAlignment="1">
      <alignment horizontal="center"/>
    </xf>
    <xf numFmtId="1" fontId="8" fillId="0" borderId="34" xfId="1" applyNumberFormat="1" applyFont="1" applyFill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11" fillId="0" borderId="14" xfId="1" applyNumberFormat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1" fontId="11" fillId="0" borderId="0" xfId="1" applyNumberFormat="1" applyFont="1" applyFill="1"/>
    <xf numFmtId="0" fontId="11" fillId="0" borderId="0" xfId="1" applyFont="1" applyFill="1"/>
    <xf numFmtId="1" fontId="8" fillId="0" borderId="14" xfId="1" applyNumberFormat="1" applyFont="1" applyFill="1" applyBorder="1" applyAlignment="1">
      <alignment horizontal="center"/>
    </xf>
    <xf numFmtId="164" fontId="8" fillId="0" borderId="3" xfId="1" applyNumberFormat="1" applyFont="1" applyFill="1" applyBorder="1" applyAlignment="1">
      <alignment horizontal="center"/>
    </xf>
    <xf numFmtId="1" fontId="8" fillId="0" borderId="3" xfId="1" applyNumberFormat="1" applyFont="1" applyFill="1" applyBorder="1" applyAlignment="1">
      <alignment horizontal="center"/>
    </xf>
    <xf numFmtId="0" fontId="11" fillId="0" borderId="14" xfId="1" applyFont="1" applyFill="1" applyBorder="1" applyAlignment="1">
      <alignment horizontal="left"/>
    </xf>
    <xf numFmtId="1" fontId="8" fillId="0" borderId="2" xfId="1" quotePrefix="1" applyNumberFormat="1" applyFont="1" applyFill="1" applyBorder="1" applyAlignment="1">
      <alignment horizontal="center"/>
    </xf>
    <xf numFmtId="1" fontId="8" fillId="0" borderId="3" xfId="1" quotePrefix="1" applyNumberFormat="1" applyFont="1" applyFill="1" applyBorder="1" applyAlignment="1">
      <alignment horizontal="center"/>
    </xf>
    <xf numFmtId="1" fontId="8" fillId="0" borderId="14" xfId="1" quotePrefix="1" applyNumberFormat="1" applyFont="1" applyFill="1" applyBorder="1" applyAlignment="1">
      <alignment horizontal="center"/>
    </xf>
    <xf numFmtId="0" fontId="11" fillId="0" borderId="11" xfId="1" applyFont="1" applyFill="1" applyBorder="1"/>
    <xf numFmtId="0" fontId="11" fillId="0" borderId="28" xfId="1" applyFont="1" applyFill="1" applyBorder="1" applyAlignment="1">
      <alignment horizontal="center"/>
    </xf>
    <xf numFmtId="1" fontId="11" fillId="0" borderId="7" xfId="1" applyNumberFormat="1" applyFont="1" applyFill="1" applyBorder="1" applyAlignment="1">
      <alignment horizontal="center"/>
    </xf>
    <xf numFmtId="1" fontId="11" fillId="0" borderId="33" xfId="1" applyNumberFormat="1" applyFont="1" applyFill="1" applyBorder="1" applyAlignment="1">
      <alignment horizontal="center"/>
    </xf>
    <xf numFmtId="1" fontId="11" fillId="0" borderId="28" xfId="1" applyNumberFormat="1" applyFont="1" applyFill="1" applyBorder="1" applyAlignment="1">
      <alignment horizontal="center"/>
    </xf>
    <xf numFmtId="0" fontId="11" fillId="0" borderId="18" xfId="1" applyFont="1" applyFill="1" applyBorder="1"/>
    <xf numFmtId="2" fontId="11" fillId="0" borderId="18" xfId="1" applyNumberFormat="1" applyFont="1" applyFill="1" applyBorder="1" applyAlignment="1">
      <alignment horizontal="center"/>
    </xf>
    <xf numFmtId="2" fontId="11" fillId="0" borderId="26" xfId="1" applyNumberFormat="1" applyFont="1" applyFill="1" applyBorder="1" applyAlignment="1">
      <alignment horizontal="center"/>
    </xf>
    <xf numFmtId="2" fontId="11" fillId="0" borderId="10" xfId="1" applyNumberFormat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0" fontId="8" fillId="0" borderId="24" xfId="1" applyFont="1" applyFill="1" applyBorder="1"/>
    <xf numFmtId="164" fontId="8" fillId="0" borderId="24" xfId="1" applyNumberFormat="1" applyFont="1" applyFill="1" applyBorder="1" applyAlignment="1">
      <alignment horizontal="center"/>
    </xf>
    <xf numFmtId="164" fontId="15" fillId="0" borderId="0" xfId="1" applyNumberFormat="1" applyFont="1" applyFill="1" applyAlignment="1">
      <alignment horizontal="center"/>
    </xf>
    <xf numFmtId="0" fontId="8" fillId="0" borderId="15" xfId="1" applyFont="1" applyFill="1" applyBorder="1"/>
    <xf numFmtId="164" fontId="8" fillId="0" borderId="15" xfId="1" applyNumberFormat="1" applyFont="1" applyFill="1" applyBorder="1" applyAlignment="1">
      <alignment horizontal="center"/>
    </xf>
    <xf numFmtId="0" fontId="8" fillId="0" borderId="14" xfId="1" applyFont="1" applyFill="1" applyBorder="1" applyAlignment="1">
      <alignment horizontal="left"/>
    </xf>
    <xf numFmtId="1" fontId="11" fillId="0" borderId="1" xfId="1" applyNumberFormat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11" xfId="1" applyFont="1" applyFill="1" applyBorder="1" applyAlignment="1">
      <alignment horizontal="center"/>
    </xf>
    <xf numFmtId="0" fontId="18" fillId="0" borderId="0" xfId="1" applyFont="1" applyFill="1"/>
    <xf numFmtId="0" fontId="8" fillId="0" borderId="12" xfId="1" applyFont="1" applyFill="1" applyBorder="1"/>
    <xf numFmtId="0" fontId="8" fillId="0" borderId="18" xfId="1" applyFont="1" applyFill="1" applyBorder="1" applyAlignment="1">
      <alignment horizontal="center"/>
    </xf>
    <xf numFmtId="164" fontId="8" fillId="0" borderId="13" xfId="1" applyNumberFormat="1" applyFont="1" applyFill="1" applyBorder="1" applyAlignment="1">
      <alignment horizontal="center"/>
    </xf>
    <xf numFmtId="164" fontId="8" fillId="0" borderId="23" xfId="1" applyNumberFormat="1" applyFont="1" applyFill="1" applyBorder="1" applyAlignment="1">
      <alignment horizontal="center"/>
    </xf>
    <xf numFmtId="164" fontId="8" fillId="0" borderId="31" xfId="1" applyNumberFormat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19" fillId="0" borderId="5" xfId="1" applyFont="1" applyFill="1" applyBorder="1" applyAlignment="1">
      <alignment horizontal="center"/>
    </xf>
    <xf numFmtId="0" fontId="20" fillId="0" borderId="15" xfId="1" applyFont="1" applyFill="1" applyBorder="1" applyAlignment="1">
      <alignment horizontal="center"/>
    </xf>
    <xf numFmtId="0" fontId="8" fillId="0" borderId="28" xfId="1" applyFont="1" applyFill="1" applyBorder="1"/>
    <xf numFmtId="0" fontId="8" fillId="0" borderId="28" xfId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0" fontId="11" fillId="0" borderId="20" xfId="1" applyFont="1" applyFill="1" applyBorder="1"/>
    <xf numFmtId="0" fontId="11" fillId="0" borderId="20" xfId="1" applyFont="1" applyFill="1" applyBorder="1" applyAlignment="1">
      <alignment horizontal="center"/>
    </xf>
    <xf numFmtId="0" fontId="8" fillId="0" borderId="27" xfId="1" applyFont="1" applyFill="1" applyBorder="1" applyAlignment="1">
      <alignment horizontal="center"/>
    </xf>
    <xf numFmtId="0" fontId="8" fillId="0" borderId="11" xfId="1" applyFont="1" applyFill="1" applyBorder="1"/>
    <xf numFmtId="0" fontId="11" fillId="0" borderId="18" xfId="1" applyFont="1" applyFill="1" applyBorder="1" applyAlignment="1">
      <alignment horizontal="center"/>
    </xf>
    <xf numFmtId="0" fontId="11" fillId="0" borderId="27" xfId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0" fontId="8" fillId="0" borderId="24" xfId="1" applyFont="1" applyFill="1" applyBorder="1" applyAlignment="1">
      <alignment horizontal="center"/>
    </xf>
    <xf numFmtId="1" fontId="8" fillId="0" borderId="0" xfId="1" applyNumberFormat="1" applyFont="1" applyFill="1"/>
    <xf numFmtId="0" fontId="8" fillId="0" borderId="12" xfId="1" applyFont="1" applyFill="1" applyBorder="1" applyAlignment="1">
      <alignment horizontal="center"/>
    </xf>
    <xf numFmtId="0" fontId="11" fillId="0" borderId="8" xfId="1" applyFont="1" applyFill="1" applyBorder="1"/>
    <xf numFmtId="0" fontId="11" fillId="0" borderId="9" xfId="1" applyFont="1" applyFill="1" applyBorder="1"/>
    <xf numFmtId="164" fontId="11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2" fontId="11" fillId="0" borderId="26" xfId="0" applyNumberFormat="1" applyFont="1" applyFill="1" applyBorder="1" applyAlignment="1">
      <alignment horizontal="center"/>
    </xf>
    <xf numFmtId="2" fontId="11" fillId="0" borderId="18" xfId="0" applyNumberFormat="1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center"/>
    </xf>
    <xf numFmtId="1" fontId="8" fillId="0" borderId="12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28" xfId="0" applyNumberFormat="1" applyFont="1" applyFill="1" applyBorder="1" applyAlignment="1">
      <alignment horizontal="center"/>
    </xf>
    <xf numFmtId="1" fontId="8" fillId="0" borderId="23" xfId="0" applyNumberFormat="1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165" fontId="8" fillId="0" borderId="14" xfId="0" applyNumberFormat="1" applyFont="1" applyFill="1" applyBorder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165" fontId="11" fillId="0" borderId="2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66" fontId="8" fillId="0" borderId="2" xfId="0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2" fontId="8" fillId="0" borderId="26" xfId="0" applyNumberFormat="1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center"/>
    </xf>
    <xf numFmtId="166" fontId="8" fillId="0" borderId="25" xfId="0" applyNumberFormat="1" applyFont="1" applyFill="1" applyBorder="1" applyAlignment="1">
      <alignment horizontal="center"/>
    </xf>
    <xf numFmtId="165" fontId="8" fillId="0" borderId="1" xfId="0" applyNumberFormat="1" applyFont="1" applyFill="1" applyBorder="1"/>
    <xf numFmtId="1" fontId="8" fillId="0" borderId="20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center"/>
    </xf>
    <xf numFmtId="2" fontId="11" fillId="0" borderId="20" xfId="0" applyNumberFormat="1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164" fontId="11" fillId="0" borderId="14" xfId="0" applyNumberFormat="1" applyFont="1" applyFill="1" applyBorder="1" applyAlignment="1">
      <alignment horizontal="center"/>
    </xf>
    <xf numFmtId="2" fontId="11" fillId="0" borderId="14" xfId="0" applyNumberFormat="1" applyFont="1" applyFill="1" applyBorder="1" applyAlignment="1">
      <alignment horizontal="center"/>
    </xf>
    <xf numFmtId="2" fontId="11" fillId="0" borderId="12" xfId="0" applyNumberFormat="1" applyFont="1" applyFill="1" applyBorder="1" applyAlignment="1">
      <alignment horizontal="center"/>
    </xf>
    <xf numFmtId="0" fontId="24" fillId="0" borderId="1" xfId="1" applyFont="1" applyFill="1" applyBorder="1" applyAlignment="1">
      <alignment horizontal="center"/>
    </xf>
    <xf numFmtId="164" fontId="8" fillId="0" borderId="1" xfId="1" applyNumberFormat="1" applyFont="1" applyFill="1" applyBorder="1"/>
    <xf numFmtId="0" fontId="24" fillId="0" borderId="0" xfId="1" applyFont="1" applyFill="1"/>
    <xf numFmtId="0" fontId="25" fillId="0" borderId="0" xfId="1" applyFont="1" applyFill="1" applyBorder="1" applyAlignment="1">
      <alignment horizontal="center"/>
    </xf>
    <xf numFmtId="1" fontId="25" fillId="0" borderId="0" xfId="1" applyNumberFormat="1" applyFont="1" applyFill="1" applyBorder="1" applyAlignment="1">
      <alignment horizontal="center"/>
    </xf>
    <xf numFmtId="0" fontId="25" fillId="0" borderId="0" xfId="1" applyFont="1" applyFill="1" applyAlignment="1">
      <alignment horizontal="center"/>
    </xf>
    <xf numFmtId="0" fontId="2" fillId="0" borderId="0" xfId="1" applyFill="1"/>
    <xf numFmtId="0" fontId="0" fillId="0" borderId="0" xfId="0" applyFill="1"/>
    <xf numFmtId="166" fontId="8" fillId="0" borderId="5" xfId="0" applyNumberFormat="1" applyFont="1" applyFill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165" fontId="8" fillId="0" borderId="15" xfId="0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0" fontId="24" fillId="0" borderId="0" xfId="0" applyFont="1" applyFill="1"/>
    <xf numFmtId="164" fontId="8" fillId="0" borderId="24" xfId="0" applyNumberFormat="1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11" fillId="0" borderId="0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11" fillId="0" borderId="36" xfId="0" applyFont="1" applyFill="1" applyBorder="1" applyAlignment="1"/>
    <xf numFmtId="0" fontId="11" fillId="0" borderId="16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1" fillId="0" borderId="36" xfId="0" applyFont="1" applyFill="1" applyBorder="1" applyAlignment="1">
      <alignment wrapText="1"/>
    </xf>
    <xf numFmtId="0" fontId="8" fillId="0" borderId="41" xfId="0" applyFont="1" applyFill="1" applyBorder="1" applyAlignment="1">
      <alignment wrapText="1"/>
    </xf>
    <xf numFmtId="0" fontId="8" fillId="0" borderId="38" xfId="0" applyFont="1" applyFill="1" applyBorder="1" applyAlignment="1">
      <alignment wrapText="1"/>
    </xf>
    <xf numFmtId="0" fontId="24" fillId="0" borderId="39" xfId="0" applyFont="1" applyFill="1" applyBorder="1" applyAlignment="1"/>
    <xf numFmtId="0" fontId="24" fillId="0" borderId="14" xfId="0" applyFont="1" applyFill="1" applyBorder="1" applyAlignment="1">
      <alignment horizontal="center"/>
    </xf>
    <xf numFmtId="0" fontId="24" fillId="0" borderId="38" xfId="0" applyFont="1" applyFill="1" applyBorder="1" applyAlignment="1"/>
    <xf numFmtId="0" fontId="24" fillId="0" borderId="15" xfId="0" applyFont="1" applyFill="1" applyBorder="1" applyAlignment="1">
      <alignment horizontal="center"/>
    </xf>
    <xf numFmtId="0" fontId="24" fillId="0" borderId="9" xfId="0" applyFont="1" applyFill="1" applyBorder="1" applyAlignment="1"/>
    <xf numFmtId="0" fontId="24" fillId="0" borderId="18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 vertical="center"/>
    </xf>
    <xf numFmtId="0" fontId="26" fillId="0" borderId="0" xfId="0" applyFont="1" applyFill="1" applyAlignment="1">
      <alignment wrapText="1"/>
    </xf>
    <xf numFmtId="2" fontId="8" fillId="0" borderId="14" xfId="0" applyNumberFormat="1" applyFont="1" applyFill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0" fontId="8" fillId="0" borderId="1" xfId="0" applyFont="1" applyFill="1" applyBorder="1"/>
    <xf numFmtId="17" fontId="8" fillId="0" borderId="37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17" fontId="8" fillId="0" borderId="42" xfId="1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0" fontId="13" fillId="0" borderId="0" xfId="0" applyFont="1" applyFill="1"/>
    <xf numFmtId="0" fontId="16" fillId="0" borderId="0" xfId="0" applyFont="1" applyFill="1"/>
    <xf numFmtId="0" fontId="8" fillId="0" borderId="14" xfId="1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/>
    </xf>
    <xf numFmtId="17" fontId="8" fillId="0" borderId="16" xfId="1" applyNumberFormat="1" applyFont="1" applyFill="1" applyBorder="1" applyAlignment="1">
      <alignment horizontal="center"/>
    </xf>
    <xf numFmtId="166" fontId="8" fillId="0" borderId="14" xfId="0" applyNumberFormat="1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166" fontId="8" fillId="0" borderId="24" xfId="0" applyNumberFormat="1" applyFont="1" applyFill="1" applyBorder="1" applyAlignment="1">
      <alignment horizontal="center"/>
    </xf>
    <xf numFmtId="166" fontId="0" fillId="0" borderId="0" xfId="0" applyNumberFormat="1" applyFill="1"/>
    <xf numFmtId="0" fontId="30" fillId="0" borderId="0" xfId="0" applyFont="1" applyFill="1"/>
    <xf numFmtId="0" fontId="24" fillId="0" borderId="0" xfId="0" applyFont="1" applyFill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/>
    </xf>
    <xf numFmtId="0" fontId="8" fillId="0" borderId="14" xfId="0" applyFont="1" applyFill="1" applyBorder="1"/>
    <xf numFmtId="1" fontId="11" fillId="0" borderId="2" xfId="0" applyNumberFormat="1" applyFont="1" applyFill="1" applyBorder="1" applyAlignment="1">
      <alignment horizontal="center"/>
    </xf>
    <xf numFmtId="1" fontId="8" fillId="0" borderId="43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/>
    </xf>
    <xf numFmtId="1" fontId="11" fillId="0" borderId="43" xfId="0" applyNumberFormat="1" applyFont="1" applyFill="1" applyBorder="1" applyAlignment="1">
      <alignment horizontal="center"/>
    </xf>
    <xf numFmtId="1" fontId="11" fillId="0" borderId="44" xfId="0" applyNumberFormat="1" applyFont="1" applyFill="1" applyBorder="1" applyAlignment="1">
      <alignment horizontal="center"/>
    </xf>
    <xf numFmtId="1" fontId="8" fillId="0" borderId="45" xfId="0" applyNumberFormat="1" applyFont="1" applyFill="1" applyBorder="1" applyAlignment="1">
      <alignment horizontal="center"/>
    </xf>
    <xf numFmtId="1" fontId="8" fillId="0" borderId="44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" fontId="11" fillId="0" borderId="46" xfId="0" applyNumberFormat="1" applyFont="1" applyFill="1" applyBorder="1" applyAlignment="1">
      <alignment horizontal="center"/>
    </xf>
    <xf numFmtId="1" fontId="11" fillId="0" borderId="32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44" xfId="0" applyFont="1" applyFill="1" applyBorder="1" applyAlignment="1">
      <alignment horizontal="center"/>
    </xf>
    <xf numFmtId="1" fontId="11" fillId="0" borderId="4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8" fillId="0" borderId="29" xfId="0" applyNumberFormat="1" applyFont="1" applyFill="1" applyBorder="1" applyAlignment="1">
      <alignment horizontal="center"/>
    </xf>
    <xf numFmtId="1" fontId="8" fillId="0" borderId="13" xfId="0" applyNumberFormat="1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1" fontId="8" fillId="0" borderId="7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164" fontId="8" fillId="0" borderId="30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164" fontId="8" fillId="0" borderId="38" xfId="0" applyNumberFormat="1" applyFont="1" applyFill="1" applyBorder="1" applyAlignment="1">
      <alignment horizontal="center"/>
    </xf>
    <xf numFmtId="164" fontId="8" fillId="0" borderId="32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17" fontId="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2" fontId="11" fillId="0" borderId="13" xfId="0" applyNumberFormat="1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1" fontId="0" fillId="0" borderId="0" xfId="0" applyNumberFormat="1" applyFill="1"/>
    <xf numFmtId="1" fontId="31" fillId="0" borderId="0" xfId="1" applyNumberFormat="1" applyFont="1" applyFill="1"/>
    <xf numFmtId="0" fontId="4" fillId="0" borderId="0" xfId="8" applyFont="1"/>
    <xf numFmtId="0" fontId="10" fillId="0" borderId="0" xfId="8"/>
    <xf numFmtId="0" fontId="4" fillId="0" borderId="0" xfId="8" applyFont="1" applyFill="1"/>
    <xf numFmtId="0" fontId="4" fillId="0" borderId="0" xfId="8" applyFont="1" applyAlignment="1">
      <alignment horizontal="center"/>
    </xf>
    <xf numFmtId="0" fontId="32" fillId="0" borderId="0" xfId="8" applyFont="1"/>
    <xf numFmtId="164" fontId="33" fillId="2" borderId="1" xfId="8" applyNumberFormat="1" applyFont="1" applyFill="1" applyBorder="1" applyAlignment="1">
      <alignment horizontal="center"/>
    </xf>
    <xf numFmtId="164" fontId="33" fillId="2" borderId="49" xfId="8" applyNumberFormat="1" applyFont="1" applyFill="1" applyBorder="1" applyAlignment="1">
      <alignment horizontal="center"/>
    </xf>
    <xf numFmtId="164" fontId="33" fillId="2" borderId="50" xfId="8" applyNumberFormat="1" applyFont="1" applyFill="1" applyBorder="1" applyAlignment="1">
      <alignment horizontal="center"/>
    </xf>
    <xf numFmtId="164" fontId="33" fillId="2" borderId="0" xfId="8" applyNumberFormat="1" applyFont="1" applyFill="1" applyBorder="1" applyAlignment="1">
      <alignment horizontal="center"/>
    </xf>
    <xf numFmtId="1" fontId="33" fillId="2" borderId="51" xfId="8" applyNumberFormat="1" applyFont="1" applyFill="1" applyBorder="1" applyAlignment="1">
      <alignment horizontal="center"/>
    </xf>
    <xf numFmtId="164" fontId="33" fillId="2" borderId="52" xfId="8" applyNumberFormat="1" applyFont="1" applyFill="1" applyBorder="1" applyAlignment="1">
      <alignment horizontal="center"/>
    </xf>
    <xf numFmtId="164" fontId="33" fillId="2" borderId="53" xfId="8" applyNumberFormat="1" applyFont="1" applyFill="1" applyBorder="1" applyAlignment="1">
      <alignment horizontal="center"/>
    </xf>
    <xf numFmtId="1" fontId="33" fillId="2" borderId="54" xfId="8" applyNumberFormat="1" applyFont="1" applyFill="1" applyBorder="1" applyAlignment="1">
      <alignment horizontal="center"/>
    </xf>
    <xf numFmtId="164" fontId="33" fillId="2" borderId="55" xfId="8" applyNumberFormat="1" applyFont="1" applyFill="1" applyBorder="1" applyAlignment="1">
      <alignment horizontal="center"/>
    </xf>
    <xf numFmtId="164" fontId="33" fillId="2" borderId="56" xfId="8" applyNumberFormat="1" applyFont="1" applyFill="1" applyBorder="1" applyAlignment="1">
      <alignment horizontal="center"/>
    </xf>
    <xf numFmtId="1" fontId="33" fillId="2" borderId="5" xfId="8" applyNumberFormat="1" applyFont="1" applyFill="1" applyBorder="1" applyAlignment="1">
      <alignment horizontal="center"/>
    </xf>
    <xf numFmtId="164" fontId="33" fillId="2" borderId="57" xfId="8" applyNumberFormat="1" applyFont="1" applyFill="1" applyBorder="1" applyAlignment="1">
      <alignment horizontal="center"/>
    </xf>
    <xf numFmtId="164" fontId="33" fillId="2" borderId="58" xfId="8" applyNumberFormat="1" applyFont="1" applyFill="1" applyBorder="1" applyAlignment="1">
      <alignment horizontal="center"/>
    </xf>
    <xf numFmtId="0" fontId="16" fillId="0" borderId="0" xfId="8" applyFont="1" applyFill="1"/>
    <xf numFmtId="0" fontId="32" fillId="0" borderId="0" xfId="8" applyFont="1" applyAlignment="1">
      <alignment horizontal="center"/>
    </xf>
    <xf numFmtId="0" fontId="4" fillId="0" borderId="0" xfId="8" applyFont="1" applyFill="1" applyAlignment="1">
      <alignment horizontal="center"/>
    </xf>
    <xf numFmtId="164" fontId="33" fillId="0" borderId="49" xfId="8" applyNumberFormat="1" applyFont="1" applyFill="1" applyBorder="1" applyAlignment="1">
      <alignment horizontal="center"/>
    </xf>
    <xf numFmtId="164" fontId="33" fillId="0" borderId="59" xfId="8" applyNumberFormat="1" applyFont="1" applyFill="1" applyBorder="1" applyAlignment="1">
      <alignment horizontal="center"/>
    </xf>
    <xf numFmtId="164" fontId="33" fillId="0" borderId="50" xfId="8" applyNumberFormat="1" applyFont="1" applyFill="1" applyBorder="1" applyAlignment="1">
      <alignment horizontal="center"/>
    </xf>
    <xf numFmtId="1" fontId="33" fillId="0" borderId="60" xfId="8" applyNumberFormat="1" applyFont="1" applyFill="1" applyBorder="1" applyAlignment="1">
      <alignment horizontal="center"/>
    </xf>
    <xf numFmtId="1" fontId="33" fillId="0" borderId="61" xfId="8" applyNumberFormat="1" applyFont="1" applyFill="1" applyBorder="1" applyAlignment="1">
      <alignment horizontal="center"/>
    </xf>
    <xf numFmtId="1" fontId="33" fillId="0" borderId="62" xfId="8" applyNumberFormat="1" applyFont="1" applyFill="1" applyBorder="1" applyAlignment="1">
      <alignment horizontal="center"/>
    </xf>
    <xf numFmtId="1" fontId="33" fillId="0" borderId="63" xfId="8" applyNumberFormat="1" applyFont="1" applyFill="1" applyBorder="1" applyAlignment="1">
      <alignment horizontal="center"/>
    </xf>
    <xf numFmtId="1" fontId="33" fillId="0" borderId="64" xfId="8" applyNumberFormat="1" applyFont="1" applyFill="1" applyBorder="1" applyAlignment="1">
      <alignment horizontal="center"/>
    </xf>
    <xf numFmtId="1" fontId="33" fillId="0" borderId="65" xfId="8" applyNumberFormat="1" applyFont="1" applyFill="1" applyBorder="1" applyAlignment="1">
      <alignment horizontal="center"/>
    </xf>
    <xf numFmtId="1" fontId="33" fillId="0" borderId="56" xfId="8" applyNumberFormat="1" applyFont="1" applyFill="1" applyBorder="1" applyAlignment="1">
      <alignment horizontal="center"/>
    </xf>
    <xf numFmtId="1" fontId="33" fillId="0" borderId="66" xfId="8" applyNumberFormat="1" applyFont="1" applyFill="1" applyBorder="1" applyAlignment="1">
      <alignment horizontal="center"/>
    </xf>
    <xf numFmtId="1" fontId="33" fillId="0" borderId="55" xfId="8" applyNumberFormat="1" applyFont="1" applyFill="1" applyBorder="1" applyAlignment="1">
      <alignment horizontal="center"/>
    </xf>
    <xf numFmtId="1" fontId="33" fillId="0" borderId="67" xfId="8" applyNumberFormat="1" applyFont="1" applyFill="1" applyBorder="1" applyAlignment="1">
      <alignment horizontal="center"/>
    </xf>
    <xf numFmtId="1" fontId="33" fillId="0" borderId="68" xfId="8" applyNumberFormat="1" applyFont="1" applyFill="1" applyBorder="1" applyAlignment="1">
      <alignment horizontal="center"/>
    </xf>
    <xf numFmtId="1" fontId="33" fillId="0" borderId="58" xfId="8" applyNumberFormat="1" applyFont="1" applyFill="1" applyBorder="1" applyAlignment="1">
      <alignment horizontal="center"/>
    </xf>
    <xf numFmtId="1" fontId="33" fillId="0" borderId="57" xfId="8" applyNumberFormat="1" applyFont="1" applyFill="1" applyBorder="1" applyAlignment="1">
      <alignment horizontal="center"/>
    </xf>
    <xf numFmtId="1" fontId="33" fillId="0" borderId="69" xfId="8" applyNumberFormat="1" applyFont="1" applyFill="1" applyBorder="1" applyAlignment="1">
      <alignment horizontal="center"/>
    </xf>
    <xf numFmtId="1" fontId="32" fillId="0" borderId="0" xfId="8" applyNumberFormat="1" applyFont="1"/>
    <xf numFmtId="1" fontId="32" fillId="0" borderId="0" xfId="8" applyNumberFormat="1" applyFont="1" applyFill="1"/>
    <xf numFmtId="1" fontId="4" fillId="0" borderId="0" xfId="8" applyNumberFormat="1" applyFont="1" applyFill="1" applyAlignment="1">
      <alignment horizontal="center"/>
    </xf>
    <xf numFmtId="1" fontId="33" fillId="0" borderId="70" xfId="8" applyNumberFormat="1" applyFont="1" applyFill="1" applyBorder="1" applyAlignment="1">
      <alignment horizontal="center"/>
    </xf>
    <xf numFmtId="164" fontId="32" fillId="0" borderId="0" xfId="8" applyNumberFormat="1" applyFont="1"/>
    <xf numFmtId="164" fontId="32" fillId="0" borderId="0" xfId="8" applyNumberFormat="1" applyFont="1" applyFill="1"/>
    <xf numFmtId="1" fontId="4" fillId="0" borderId="0" xfId="8" applyNumberFormat="1" applyFont="1" applyFill="1"/>
    <xf numFmtId="1" fontId="33" fillId="0" borderId="51" xfId="8" applyNumberFormat="1" applyFont="1" applyFill="1" applyBorder="1" applyAlignment="1">
      <alignment horizontal="center"/>
    </xf>
    <xf numFmtId="0" fontId="4" fillId="0" borderId="0" xfId="8" applyFont="1" applyBorder="1"/>
    <xf numFmtId="0" fontId="32" fillId="0" borderId="0" xfId="8" applyFont="1" applyBorder="1"/>
    <xf numFmtId="164" fontId="33" fillId="0" borderId="1" xfId="8" applyNumberFormat="1" applyFont="1" applyFill="1" applyBorder="1" applyAlignment="1">
      <alignment horizontal="center"/>
    </xf>
    <xf numFmtId="49" fontId="34" fillId="3" borderId="0" xfId="8" applyNumberFormat="1" applyFont="1" applyFill="1" applyBorder="1" applyAlignment="1">
      <alignment vertical="center"/>
    </xf>
    <xf numFmtId="0" fontId="32" fillId="0" borderId="0" xfId="8" applyFont="1" applyBorder="1" applyAlignment="1">
      <alignment vertical="center"/>
    </xf>
    <xf numFmtId="0" fontId="4" fillId="0" borderId="0" xfId="8" applyFont="1" applyAlignment="1">
      <alignment wrapText="1"/>
    </xf>
    <xf numFmtId="0" fontId="4" fillId="0" borderId="0" xfId="8" applyFont="1" applyAlignment="1">
      <alignment horizontal="center" vertical="center"/>
    </xf>
    <xf numFmtId="1" fontId="33" fillId="2" borderId="1" xfId="8" applyNumberFormat="1" applyFont="1" applyFill="1" applyBorder="1" applyAlignment="1">
      <alignment horizontal="center" vertical="center"/>
    </xf>
    <xf numFmtId="1" fontId="33" fillId="0" borderId="1" xfId="8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0" xfId="1" applyFont="1" applyFill="1" applyAlignment="1">
      <alignment horizontal="left" wrapText="1"/>
    </xf>
    <xf numFmtId="0" fontId="15" fillId="0" borderId="0" xfId="1" applyFont="1" applyFill="1" applyAlignment="1">
      <alignment horizontal="left" wrapText="1"/>
    </xf>
    <xf numFmtId="0" fontId="11" fillId="0" borderId="0" xfId="0" applyFont="1" applyFill="1" applyBorder="1" applyAlignment="1">
      <alignment horizontal="center"/>
    </xf>
    <xf numFmtId="0" fontId="4" fillId="0" borderId="0" xfId="8" applyFont="1" applyAlignment="1">
      <alignment horizontal="center"/>
    </xf>
    <xf numFmtId="0" fontId="8" fillId="4" borderId="14" xfId="1" applyFont="1" applyFill="1" applyBorder="1" applyAlignment="1">
      <alignment wrapText="1"/>
    </xf>
    <xf numFmtId="0" fontId="8" fillId="4" borderId="14" xfId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4" fontId="8" fillId="4" borderId="14" xfId="0" applyNumberFormat="1" applyFont="1" applyFill="1" applyBorder="1" applyAlignment="1">
      <alignment horizontal="center"/>
    </xf>
    <xf numFmtId="0" fontId="24" fillId="4" borderId="0" xfId="0" applyFont="1" applyFill="1"/>
    <xf numFmtId="0" fontId="8" fillId="4" borderId="14" xfId="1" applyFont="1" applyFill="1" applyBorder="1"/>
    <xf numFmtId="164" fontId="8" fillId="4" borderId="2" xfId="0" applyNumberFormat="1" applyFont="1" applyFill="1" applyBorder="1" applyAlignment="1">
      <alignment horizontal="center"/>
    </xf>
    <xf numFmtId="0" fontId="8" fillId="4" borderId="41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/>
    </xf>
    <xf numFmtId="164" fontId="8" fillId="4" borderId="24" xfId="0" applyNumberFormat="1" applyFont="1" applyFill="1" applyBorder="1" applyAlignment="1">
      <alignment horizontal="center" vertical="center"/>
    </xf>
    <xf numFmtId="0" fontId="8" fillId="4" borderId="0" xfId="0" applyFont="1" applyFill="1"/>
    <xf numFmtId="0" fontId="0" fillId="4" borderId="0" xfId="0" applyFill="1"/>
    <xf numFmtId="0" fontId="8" fillId="4" borderId="38" xfId="0" applyFont="1" applyFill="1" applyBorder="1" applyAlignment="1">
      <alignment horizontal="left" wrapText="1"/>
    </xf>
    <xf numFmtId="0" fontId="8" fillId="4" borderId="15" xfId="0" applyFont="1" applyFill="1" applyBorder="1" applyAlignment="1">
      <alignment horizontal="center"/>
    </xf>
    <xf numFmtId="0" fontId="8" fillId="4" borderId="39" xfId="0" applyFont="1" applyFill="1" applyBorder="1" applyAlignment="1">
      <alignment wrapText="1"/>
    </xf>
    <xf numFmtId="0" fontId="8" fillId="4" borderId="14" xfId="0" applyFont="1" applyFill="1" applyBorder="1" applyAlignment="1">
      <alignment horizontal="center"/>
    </xf>
    <xf numFmtId="0" fontId="8" fillId="4" borderId="39" xfId="0" applyFont="1" applyFill="1" applyBorder="1" applyAlignment="1"/>
    <xf numFmtId="0" fontId="8" fillId="4" borderId="40" xfId="0" applyFont="1" applyFill="1" applyBorder="1" applyAlignment="1"/>
    <xf numFmtId="0" fontId="8" fillId="4" borderId="28" xfId="0" applyFont="1" applyFill="1" applyBorder="1" applyAlignment="1">
      <alignment horizontal="center"/>
    </xf>
    <xf numFmtId="0" fontId="8" fillId="4" borderId="24" xfId="0" applyFont="1" applyFill="1" applyBorder="1" applyAlignment="1">
      <alignment wrapText="1"/>
    </xf>
    <xf numFmtId="0" fontId="8" fillId="4" borderId="24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8" xfId="0" applyFont="1" applyFill="1" applyBorder="1" applyAlignment="1">
      <alignment wrapText="1"/>
    </xf>
    <xf numFmtId="0" fontId="8" fillId="4" borderId="11" xfId="0" applyFont="1" applyFill="1" applyBorder="1" applyAlignment="1">
      <alignment horizontal="center"/>
    </xf>
  </cellXfs>
  <cellStyles count="18">
    <cellStyle name="Обычный" xfId="0" builtinId="0"/>
    <cellStyle name="Обычный 2" xfId="3"/>
    <cellStyle name="Обычный 2 2" xfId="8"/>
    <cellStyle name="Обычный 2 3" xfId="10"/>
    <cellStyle name="Обычный 2 4" xfId="11"/>
    <cellStyle name="Обычный 2 5" xfId="12"/>
    <cellStyle name="Обычный 2 6" xfId="9"/>
    <cellStyle name="Обычный 3" xfId="4"/>
    <cellStyle name="Обычный 3 2" xfId="14"/>
    <cellStyle name="Обычный 3 3" xfId="13"/>
    <cellStyle name="Обычный 4" xfId="6"/>
    <cellStyle name="Обычный 4 2" xfId="15"/>
    <cellStyle name="Обычный 5" xfId="1"/>
    <cellStyle name="Обычный 5 2" xfId="16"/>
    <cellStyle name="Обычный 6" xfId="17"/>
    <cellStyle name="Процентный 2" xfId="7"/>
    <cellStyle name="Процентный 3" xfId="5"/>
    <cellStyle name="Процентный 4" xfId="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B1:V54"/>
  <sheetViews>
    <sheetView tabSelected="1" view="pageBreakPreview" zoomScale="115" zoomScaleNormal="70" zoomScaleSheetLayoutView="115" workbookViewId="0">
      <selection activeCell="A42" sqref="A42:XFD42"/>
    </sheetView>
  </sheetViews>
  <sheetFormatPr defaultColWidth="9.140625" defaultRowHeight="15.75" x14ac:dyDescent="0.25"/>
  <cols>
    <col min="1" max="1" width="2.140625" style="165" customWidth="1"/>
    <col min="2" max="2" width="53.85546875" style="165" customWidth="1"/>
    <col min="3" max="3" width="9.140625" style="165" customWidth="1"/>
    <col min="4" max="7" width="12.5703125" style="165" hidden="1" customWidth="1"/>
    <col min="8" max="15" width="12.5703125" style="165" customWidth="1"/>
    <col min="16" max="16" width="21.140625" style="165" bestFit="1" customWidth="1"/>
    <col min="17" max="16384" width="9.140625" style="165"/>
  </cols>
  <sheetData>
    <row r="1" spans="2:16" x14ac:dyDescent="0.25">
      <c r="B1" s="24"/>
      <c r="C1" s="23"/>
      <c r="D1" s="23"/>
      <c r="E1" s="24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23" t="s">
        <v>0</v>
      </c>
    </row>
    <row r="2" spans="2:16" x14ac:dyDescent="0.25">
      <c r="B2" s="1" t="s">
        <v>1</v>
      </c>
      <c r="C2" s="23"/>
      <c r="D2" s="23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3" t="s">
        <v>222</v>
      </c>
    </row>
    <row r="3" spans="2:16" x14ac:dyDescent="0.25">
      <c r="B3" s="26" t="s">
        <v>2</v>
      </c>
      <c r="C3" s="23"/>
      <c r="D3" s="2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7"/>
    </row>
    <row r="4" spans="2:16" x14ac:dyDescent="0.25">
      <c r="B4" s="24" t="s">
        <v>3</v>
      </c>
      <c r="C4" s="23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03"/>
    </row>
    <row r="5" spans="2:16" x14ac:dyDescent="0.25">
      <c r="B5" s="26" t="s">
        <v>221</v>
      </c>
      <c r="C5" s="2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27"/>
    </row>
    <row r="6" spans="2:16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5"/>
    </row>
    <row r="7" spans="2:16" ht="16.5" thickBot="1" x14ac:dyDescent="0.3">
      <c r="B7" s="156"/>
      <c r="C7" s="156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</row>
    <row r="8" spans="2:16" ht="16.5" thickBot="1" x14ac:dyDescent="0.3">
      <c r="B8" s="29" t="s">
        <v>4</v>
      </c>
      <c r="C8" s="29" t="s">
        <v>5</v>
      </c>
      <c r="D8" s="189"/>
      <c r="E8" s="30"/>
      <c r="F8" s="30"/>
      <c r="G8" s="30"/>
      <c r="H8" s="30">
        <v>43952</v>
      </c>
      <c r="I8" s="30">
        <v>43983</v>
      </c>
      <c r="J8" s="30">
        <v>44013</v>
      </c>
      <c r="K8" s="30">
        <v>44044</v>
      </c>
      <c r="L8" s="30">
        <v>44075</v>
      </c>
      <c r="M8" s="30">
        <v>44105</v>
      </c>
      <c r="N8" s="30">
        <v>44136</v>
      </c>
      <c r="O8" s="30">
        <v>44166</v>
      </c>
      <c r="P8" s="6" t="s">
        <v>150</v>
      </c>
    </row>
    <row r="9" spans="2:16" x14ac:dyDescent="0.25">
      <c r="B9" s="81" t="s">
        <v>6</v>
      </c>
      <c r="C9" s="31" t="s">
        <v>7</v>
      </c>
      <c r="D9" s="238"/>
      <c r="E9" s="238"/>
      <c r="F9" s="238"/>
      <c r="G9" s="238"/>
      <c r="H9" s="238">
        <v>1324.1</v>
      </c>
      <c r="I9" s="238">
        <v>1280.0999999999999</v>
      </c>
      <c r="J9" s="238">
        <v>1209.7</v>
      </c>
      <c r="K9" s="238">
        <v>1206.5</v>
      </c>
      <c r="L9" s="238">
        <v>1166</v>
      </c>
      <c r="M9" s="238">
        <v>1134.5</v>
      </c>
      <c r="N9" s="238">
        <v>1186.0999999999999</v>
      </c>
      <c r="O9" s="238">
        <v>1142.8</v>
      </c>
      <c r="P9" s="138">
        <f>SUM(D9:O9)</f>
        <v>9649.7999999999993</v>
      </c>
    </row>
    <row r="10" spans="2:16" x14ac:dyDescent="0.25">
      <c r="B10" s="34" t="s">
        <v>8</v>
      </c>
      <c r="C10" s="35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149"/>
    </row>
    <row r="11" spans="2:16" s="320" customFormat="1" ht="31.5" x14ac:dyDescent="0.25">
      <c r="B11" s="316" t="s">
        <v>9</v>
      </c>
      <c r="C11" s="317" t="s">
        <v>10</v>
      </c>
      <c r="D11" s="318"/>
      <c r="E11" s="318"/>
      <c r="F11" s="318"/>
      <c r="G11" s="318"/>
      <c r="H11" s="318">
        <f>ROUND(90000/H9,1)</f>
        <v>68</v>
      </c>
      <c r="I11" s="318">
        <f>ROUND(80000/I9,1)</f>
        <v>62.5</v>
      </c>
      <c r="J11" s="318">
        <f t="shared" ref="J11" si="0">ROUND(80000/J9,1)</f>
        <v>66.099999999999994</v>
      </c>
      <c r="K11" s="318">
        <f>ROUND(90000/K9,1)</f>
        <v>74.599999999999994</v>
      </c>
      <c r="L11" s="318">
        <f t="shared" ref="L11:O11" si="1">ROUND(80000/L9,1)</f>
        <v>68.599999999999994</v>
      </c>
      <c r="M11" s="318">
        <f t="shared" si="1"/>
        <v>70.5</v>
      </c>
      <c r="N11" s="318">
        <f>ROUND(90000/N9,1)</f>
        <v>75.900000000000006</v>
      </c>
      <c r="O11" s="318">
        <f t="shared" si="1"/>
        <v>70</v>
      </c>
      <c r="P11" s="319">
        <f t="shared" ref="P11:P17" si="2">ROUND((D11*$D$9+E11*$E$9+F11*$F$9+G11*$G$9+H11*$H$9+I11*$I$9+J11*$J$9+K11*$K$9+L11*$L$9+M11*$M$9+N11*$N$9+O11*$O$9)/$P$9,1)</f>
        <v>69.400000000000006</v>
      </c>
    </row>
    <row r="12" spans="2:16" x14ac:dyDescent="0.25">
      <c r="B12" s="36" t="s">
        <v>11</v>
      </c>
      <c r="C12" s="35" t="s">
        <v>10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38">
        <f t="shared" si="2"/>
        <v>0</v>
      </c>
    </row>
    <row r="13" spans="2:16" ht="31.5" x14ac:dyDescent="0.25">
      <c r="B13" s="36" t="s">
        <v>138</v>
      </c>
      <c r="C13" s="35" t="s">
        <v>10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8">
        <f>ROUND((D13*$D$9+E13*$E$9+F13*$F$9+G13*$G$9+H13*$H$9+I13*$I$9+J13*$J$9+K13*$K$9+L13*$L$9+M13*$M$9+N13*$N$9+O13*$O$9)/$P$9,1)</f>
        <v>0</v>
      </c>
    </row>
    <row r="14" spans="2:16" ht="21.75" customHeight="1" x14ac:dyDescent="0.25">
      <c r="B14" s="36" t="s">
        <v>12</v>
      </c>
      <c r="C14" s="35" t="s">
        <v>10</v>
      </c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>
        <f t="shared" si="2"/>
        <v>0</v>
      </c>
    </row>
    <row r="15" spans="2:16" s="320" customFormat="1" ht="31.5" x14ac:dyDescent="0.25">
      <c r="B15" s="316" t="s">
        <v>13</v>
      </c>
      <c r="C15" s="317" t="s">
        <v>10</v>
      </c>
      <c r="D15" s="318"/>
      <c r="E15" s="318"/>
      <c r="F15" s="318"/>
      <c r="G15" s="318"/>
      <c r="H15" s="318">
        <v>716.9</v>
      </c>
      <c r="I15" s="318">
        <v>726.4</v>
      </c>
      <c r="J15" s="318">
        <v>744.8</v>
      </c>
      <c r="K15" s="318">
        <v>735.7</v>
      </c>
      <c r="L15" s="318">
        <v>741.8</v>
      </c>
      <c r="M15" s="318">
        <v>742.7</v>
      </c>
      <c r="N15" s="318">
        <v>737.7</v>
      </c>
      <c r="O15" s="318">
        <v>738.1</v>
      </c>
      <c r="P15" s="319">
        <f>ROUND((D15*$D$9+E15*$E$9+F15*$F$9+G15*$G$9+H15*$H$9+I15*$I$9+J15*$J$9+K15*$K$9+L15*$L$9+M15*$M$9+N15*$N$9+O15*$O$9)/$P$9,1)</f>
        <v>735.1</v>
      </c>
    </row>
    <row r="16" spans="2:16" ht="31.5" x14ac:dyDescent="0.25">
      <c r="B16" s="36" t="s">
        <v>14</v>
      </c>
      <c r="C16" s="35" t="s">
        <v>10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8">
        <f t="shared" si="2"/>
        <v>0</v>
      </c>
    </row>
    <row r="17" spans="2:16" ht="21.75" customHeight="1" x14ac:dyDescent="0.25">
      <c r="B17" s="36" t="s">
        <v>15</v>
      </c>
      <c r="C17" s="35" t="s">
        <v>10</v>
      </c>
      <c r="D17" s="137"/>
      <c r="E17" s="137"/>
      <c r="F17" s="137"/>
      <c r="G17" s="137"/>
      <c r="H17" s="137">
        <v>6.3</v>
      </c>
      <c r="I17" s="137">
        <v>6.9</v>
      </c>
      <c r="J17" s="137">
        <v>6.6</v>
      </c>
      <c r="K17" s="137">
        <v>6.7</v>
      </c>
      <c r="L17" s="137">
        <v>6.6</v>
      </c>
      <c r="M17" s="137">
        <v>6.4</v>
      </c>
      <c r="N17" s="137">
        <v>6.4</v>
      </c>
      <c r="O17" s="137">
        <v>6.6</v>
      </c>
      <c r="P17" s="138">
        <f t="shared" si="2"/>
        <v>6.6</v>
      </c>
    </row>
    <row r="18" spans="2:16" ht="21.75" customHeight="1" x14ac:dyDescent="0.25">
      <c r="B18" s="39" t="s">
        <v>16</v>
      </c>
      <c r="C18" s="40" t="s">
        <v>10</v>
      </c>
      <c r="D18" s="249"/>
      <c r="E18" s="249"/>
      <c r="F18" s="249"/>
      <c r="G18" s="249"/>
      <c r="H18" s="249">
        <f t="shared" ref="H18:J18" si="3">SUM(H11:H17)</f>
        <v>791.19999999999993</v>
      </c>
      <c r="I18" s="249">
        <f t="shared" si="3"/>
        <v>795.8</v>
      </c>
      <c r="J18" s="249">
        <f t="shared" si="3"/>
        <v>817.5</v>
      </c>
      <c r="K18" s="249">
        <f t="shared" ref="K18:O18" si="4">SUM(K11:K17)</f>
        <v>817.00000000000011</v>
      </c>
      <c r="L18" s="249">
        <f t="shared" si="4"/>
        <v>817</v>
      </c>
      <c r="M18" s="249">
        <f t="shared" si="4"/>
        <v>819.6</v>
      </c>
      <c r="N18" s="249">
        <f t="shared" si="4"/>
        <v>820</v>
      </c>
      <c r="O18" s="249">
        <f t="shared" si="4"/>
        <v>814.7</v>
      </c>
      <c r="P18" s="150">
        <f>SUM(P11:P17)</f>
        <v>811.1</v>
      </c>
    </row>
    <row r="19" spans="2:16" ht="21.75" customHeight="1" x14ac:dyDescent="0.25">
      <c r="B19" s="34" t="s">
        <v>108</v>
      </c>
      <c r="C19" s="35" t="s">
        <v>10</v>
      </c>
      <c r="D19" s="137"/>
      <c r="E19" s="137"/>
      <c r="F19" s="137"/>
      <c r="G19" s="137"/>
      <c r="H19" s="137">
        <f t="shared" ref="H19:J19" si="5">H20+H21</f>
        <v>9.6</v>
      </c>
      <c r="I19" s="137">
        <f t="shared" si="5"/>
        <v>10</v>
      </c>
      <c r="J19" s="137">
        <f t="shared" si="5"/>
        <v>10.5</v>
      </c>
      <c r="K19" s="137">
        <f t="shared" ref="K19:O19" si="6">K20+K21</f>
        <v>10.6</v>
      </c>
      <c r="L19" s="137">
        <f t="shared" si="6"/>
        <v>10.9</v>
      </c>
      <c r="M19" s="137">
        <f t="shared" si="6"/>
        <v>11.2</v>
      </c>
      <c r="N19" s="137">
        <f t="shared" si="6"/>
        <v>10.8</v>
      </c>
      <c r="O19" s="137">
        <f t="shared" si="6"/>
        <v>11.2</v>
      </c>
      <c r="P19" s="138">
        <f>ROUND((D19*$D$9+E19*$E$9+F19*$F$9+G19*$G$9+H19*$H$9+I19*$I$9+J19*$J$9+K19*$K$9+L19*$L$9+M19*$M$9+N19*$N$9+O19*$O$9)/$P$9,1)</f>
        <v>10.6</v>
      </c>
    </row>
    <row r="20" spans="2:16" s="320" customFormat="1" ht="21.75" customHeight="1" x14ac:dyDescent="0.25">
      <c r="B20" s="321" t="s">
        <v>140</v>
      </c>
      <c r="C20" s="317" t="s">
        <v>10</v>
      </c>
      <c r="D20" s="318"/>
      <c r="E20" s="318"/>
      <c r="F20" s="318"/>
      <c r="G20" s="318"/>
      <c r="H20" s="318">
        <f t="shared" ref="H20:O20" si="7">ROUND(12759/H9,1)</f>
        <v>9.6</v>
      </c>
      <c r="I20" s="318">
        <f t="shared" si="7"/>
        <v>10</v>
      </c>
      <c r="J20" s="318">
        <f t="shared" si="7"/>
        <v>10.5</v>
      </c>
      <c r="K20" s="318">
        <f t="shared" si="7"/>
        <v>10.6</v>
      </c>
      <c r="L20" s="318">
        <f t="shared" si="7"/>
        <v>10.9</v>
      </c>
      <c r="M20" s="318">
        <f t="shared" si="7"/>
        <v>11.2</v>
      </c>
      <c r="N20" s="318">
        <f t="shared" si="7"/>
        <v>10.8</v>
      </c>
      <c r="O20" s="318">
        <f t="shared" si="7"/>
        <v>11.2</v>
      </c>
      <c r="P20" s="319">
        <f>ROUND((D20*$D$9+E20*$E$9+F20*$F$9+G20*$G$9+H20*$H$9+I20*$I$9+J20*$J$9+K20*$K$9+L20*$L$9+M20*$M$9+N20*$N$9+O20*$O$9)/$P$9,1)</f>
        <v>10.6</v>
      </c>
    </row>
    <row r="21" spans="2:16" ht="21.75" customHeight="1" x14ac:dyDescent="0.25">
      <c r="B21" s="34" t="s">
        <v>139</v>
      </c>
      <c r="C21" s="35" t="s">
        <v>10</v>
      </c>
      <c r="D21" s="137"/>
      <c r="E21" s="137"/>
      <c r="F21" s="137"/>
      <c r="G21" s="137"/>
      <c r="H21" s="137">
        <f t="shared" ref="H21:O21" si="8">ROUND(0/H9,1)</f>
        <v>0</v>
      </c>
      <c r="I21" s="137">
        <f t="shared" si="8"/>
        <v>0</v>
      </c>
      <c r="J21" s="137">
        <f t="shared" si="8"/>
        <v>0</v>
      </c>
      <c r="K21" s="137">
        <f t="shared" si="8"/>
        <v>0</v>
      </c>
      <c r="L21" s="137">
        <f t="shared" si="8"/>
        <v>0</v>
      </c>
      <c r="M21" s="137">
        <f t="shared" si="8"/>
        <v>0</v>
      </c>
      <c r="N21" s="137">
        <f t="shared" si="8"/>
        <v>0</v>
      </c>
      <c r="O21" s="137">
        <f t="shared" si="8"/>
        <v>0</v>
      </c>
      <c r="P21" s="138">
        <f>ROUND((D21*$D$9+E21*$E$9+F21*$F$9+G21*$G$9+H21*$H$9+I21*$I$9+J21*$J$9+K21*$K$9+L21*$L$9+M21*$M$9+N21*$N$9+O21*$O$9)/$P$9,1)</f>
        <v>0</v>
      </c>
    </row>
    <row r="22" spans="2:16" ht="21.75" customHeight="1" x14ac:dyDescent="0.25">
      <c r="B22" s="34" t="s">
        <v>107</v>
      </c>
      <c r="C22" s="35" t="s">
        <v>10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8">
        <f>ROUND((D22*$D$9+E22*$E$9+F22*$F$9+G22*$G$9+H22*$H$9+I22*$I$9+J22*$J$9+K22*$K$9+L22*$L$9+M22*$M$9+N22*$N$9+O22*$O$9)/$P$9,1)</f>
        <v>0</v>
      </c>
    </row>
    <row r="23" spans="2:16" ht="21.75" customHeight="1" x14ac:dyDescent="0.25">
      <c r="B23" s="34" t="s">
        <v>17</v>
      </c>
      <c r="C23" s="35" t="s">
        <v>10</v>
      </c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138">
        <f t="shared" ref="P23:P28" si="9">ROUND((D23*$D$9+E23*$E$9+F23*$F$9+G23*$G$9+H23*$H$9+I23*$I$9+J23*$J$9+K23*$K$9+L23*$L$9+M23*$M$9+N23*$N$9+O23*$O$9)/$P$9,1)</f>
        <v>0</v>
      </c>
    </row>
    <row r="24" spans="2:16" s="320" customFormat="1" ht="21.75" customHeight="1" x14ac:dyDescent="0.25">
      <c r="B24" s="321" t="s">
        <v>18</v>
      </c>
      <c r="C24" s="317" t="s">
        <v>10</v>
      </c>
      <c r="D24" s="322"/>
      <c r="E24" s="322"/>
      <c r="F24" s="322"/>
      <c r="G24" s="322"/>
      <c r="H24" s="322">
        <v>3.3</v>
      </c>
      <c r="I24" s="322">
        <v>3.8</v>
      </c>
      <c r="J24" s="322">
        <v>4.0999999999999996</v>
      </c>
      <c r="K24" s="322">
        <v>4.0999999999999996</v>
      </c>
      <c r="L24" s="322">
        <v>4.2</v>
      </c>
      <c r="M24" s="322">
        <v>2.7</v>
      </c>
      <c r="N24" s="322"/>
      <c r="O24" s="322"/>
      <c r="P24" s="319">
        <f>ROUND((D24*$D$9+E24*$E$9+F24*$F$9+G24*$G$9+H24*$H$9+I24*$I$9+J24*$J$9+K24*$K$9+L24*$L$9+M24*$M$9+N24*$N$9+O24*$O$9)/$P$9,1)</f>
        <v>2.8</v>
      </c>
    </row>
    <row r="25" spans="2:16" s="320" customFormat="1" ht="21.75" customHeight="1" x14ac:dyDescent="0.25">
      <c r="B25" s="321" t="s">
        <v>19</v>
      </c>
      <c r="C25" s="317" t="s">
        <v>10</v>
      </c>
      <c r="D25" s="318"/>
      <c r="E25" s="318"/>
      <c r="F25" s="318"/>
      <c r="G25" s="318"/>
      <c r="H25" s="318">
        <v>90.1</v>
      </c>
      <c r="I25" s="318">
        <v>89.2</v>
      </c>
      <c r="J25" s="318">
        <v>88.4</v>
      </c>
      <c r="K25" s="318">
        <v>88.3</v>
      </c>
      <c r="L25" s="318">
        <v>88.4</v>
      </c>
      <c r="M25" s="318">
        <v>87.8</v>
      </c>
      <c r="N25" s="318">
        <v>89</v>
      </c>
      <c r="O25" s="318">
        <v>92.5</v>
      </c>
      <c r="P25" s="319">
        <f t="shared" si="9"/>
        <v>89.2</v>
      </c>
    </row>
    <row r="26" spans="2:16" s="320" customFormat="1" ht="21.75" customHeight="1" x14ac:dyDescent="0.25">
      <c r="B26" s="321" t="s">
        <v>20</v>
      </c>
      <c r="C26" s="317" t="s">
        <v>10</v>
      </c>
      <c r="D26" s="322"/>
      <c r="E26" s="322"/>
      <c r="F26" s="322"/>
      <c r="G26" s="322"/>
      <c r="H26" s="322">
        <v>4.5999999999999996</v>
      </c>
      <c r="I26" s="322">
        <v>1.3</v>
      </c>
      <c r="J26" s="322"/>
      <c r="K26" s="322"/>
      <c r="L26" s="322"/>
      <c r="M26" s="322"/>
      <c r="N26" s="322"/>
      <c r="O26" s="322">
        <v>1.7</v>
      </c>
      <c r="P26" s="319">
        <f t="shared" si="9"/>
        <v>1</v>
      </c>
    </row>
    <row r="27" spans="2:16" s="320" customFormat="1" ht="21.75" customHeight="1" x14ac:dyDescent="0.25">
      <c r="B27" s="321" t="s">
        <v>21</v>
      </c>
      <c r="C27" s="317" t="s">
        <v>10</v>
      </c>
      <c r="D27" s="318"/>
      <c r="E27" s="318"/>
      <c r="F27" s="318"/>
      <c r="G27" s="318"/>
      <c r="H27" s="318">
        <v>3</v>
      </c>
      <c r="I27" s="318">
        <v>0.1</v>
      </c>
      <c r="J27" s="318">
        <v>0.6</v>
      </c>
      <c r="K27" s="318">
        <v>0.6</v>
      </c>
      <c r="L27" s="318">
        <v>0.1</v>
      </c>
      <c r="M27" s="318"/>
      <c r="N27" s="318">
        <v>0.1</v>
      </c>
      <c r="O27" s="318"/>
      <c r="P27" s="319">
        <f t="shared" si="9"/>
        <v>0.6</v>
      </c>
    </row>
    <row r="28" spans="2:16" s="320" customFormat="1" ht="21.75" customHeight="1" x14ac:dyDescent="0.25">
      <c r="B28" s="321" t="s">
        <v>22</v>
      </c>
      <c r="C28" s="317" t="s">
        <v>10</v>
      </c>
      <c r="D28" s="318"/>
      <c r="E28" s="318"/>
      <c r="F28" s="318"/>
      <c r="G28" s="318"/>
      <c r="H28" s="318">
        <f t="shared" ref="H28:J28" si="10">ROUND(4700/H9,1)</f>
        <v>3.5</v>
      </c>
      <c r="I28" s="318">
        <f>ROUND(4700/I9,1)</f>
        <v>3.7</v>
      </c>
      <c r="J28" s="318">
        <f t="shared" si="10"/>
        <v>3.9</v>
      </c>
      <c r="K28" s="318">
        <f t="shared" ref="K28:O28" si="11">ROUND(4700/K9,1)</f>
        <v>3.9</v>
      </c>
      <c r="L28" s="318">
        <f t="shared" si="11"/>
        <v>4</v>
      </c>
      <c r="M28" s="318">
        <f t="shared" si="11"/>
        <v>4.0999999999999996</v>
      </c>
      <c r="N28" s="318">
        <f t="shared" si="11"/>
        <v>4</v>
      </c>
      <c r="O28" s="318">
        <f t="shared" si="11"/>
        <v>4.0999999999999996</v>
      </c>
      <c r="P28" s="319">
        <f t="shared" si="9"/>
        <v>3.9</v>
      </c>
    </row>
    <row r="29" spans="2:16" s="320" customFormat="1" ht="21.75" customHeight="1" x14ac:dyDescent="0.25">
      <c r="B29" s="321" t="s">
        <v>152</v>
      </c>
      <c r="C29" s="317" t="s">
        <v>10</v>
      </c>
      <c r="D29" s="318"/>
      <c r="E29" s="318"/>
      <c r="F29" s="318"/>
      <c r="G29" s="318"/>
      <c r="H29" s="318">
        <v>3.4</v>
      </c>
      <c r="I29" s="318">
        <v>3.4</v>
      </c>
      <c r="J29" s="318">
        <v>3.7</v>
      </c>
      <c r="K29" s="318">
        <v>3.7</v>
      </c>
      <c r="L29" s="318">
        <v>3.4</v>
      </c>
      <c r="M29" s="318">
        <v>2.2000000000000002</v>
      </c>
      <c r="N29" s="318">
        <v>3.5</v>
      </c>
      <c r="O29" s="318">
        <v>3.4</v>
      </c>
      <c r="P29" s="319">
        <f>ROUND((D29*$D$9+E29*$E$9+F29*$F$9+G29*$G$9+H29*$H$9+I29*$I$9+J29*$J$9+K29*$K$9+L29*$L$9+M29*$M$9+N29*$N$9+O29*$O$9)/$P$9,1)</f>
        <v>3.3</v>
      </c>
    </row>
    <row r="30" spans="2:16" ht="21.75" customHeight="1" x14ac:dyDescent="0.25">
      <c r="B30" s="34" t="s">
        <v>153</v>
      </c>
      <c r="C30" s="35" t="s">
        <v>10</v>
      </c>
      <c r="D30" s="137"/>
      <c r="E30" s="137"/>
      <c r="F30" s="137"/>
      <c r="G30" s="137"/>
      <c r="H30" s="137">
        <f t="shared" ref="H30:O30" si="12">ROUND(12315/H9,1)</f>
        <v>9.3000000000000007</v>
      </c>
      <c r="I30" s="137">
        <f t="shared" si="12"/>
        <v>9.6</v>
      </c>
      <c r="J30" s="137">
        <f t="shared" si="12"/>
        <v>10.199999999999999</v>
      </c>
      <c r="K30" s="137">
        <f t="shared" si="12"/>
        <v>10.199999999999999</v>
      </c>
      <c r="L30" s="137">
        <f t="shared" si="12"/>
        <v>10.6</v>
      </c>
      <c r="M30" s="137">
        <f t="shared" si="12"/>
        <v>10.9</v>
      </c>
      <c r="N30" s="137">
        <f t="shared" si="12"/>
        <v>10.4</v>
      </c>
      <c r="O30" s="137">
        <f t="shared" si="12"/>
        <v>10.8</v>
      </c>
      <c r="P30" s="138">
        <f t="shared" ref="P30:P33" si="13">ROUND((D30*$D$9+E30*$E$9+F30*$F$9+G30*$G$9+H30*$H$9+I30*$I$9+J30*$J$9+K30*$K$9+L30*$L$9+M30*$M$9+N30*$N$9+O30*$O$9)/$P$9,1)</f>
        <v>10.199999999999999</v>
      </c>
    </row>
    <row r="31" spans="2:16" ht="21.75" customHeight="1" x14ac:dyDescent="0.25">
      <c r="B31" s="34" t="s">
        <v>154</v>
      </c>
      <c r="C31" s="35" t="s">
        <v>10</v>
      </c>
      <c r="D31" s="137"/>
      <c r="E31" s="137"/>
      <c r="F31" s="137"/>
      <c r="G31" s="137"/>
      <c r="H31" s="137">
        <f t="shared" ref="H31:O31" si="14">H30-H32-H33-H34</f>
        <v>6.2000000000000011</v>
      </c>
      <c r="I31" s="137">
        <f t="shared" si="14"/>
        <v>6.5</v>
      </c>
      <c r="J31" s="137">
        <f t="shared" si="14"/>
        <v>6.6</v>
      </c>
      <c r="K31" s="137">
        <f t="shared" si="14"/>
        <v>6.7</v>
      </c>
      <c r="L31" s="137">
        <f t="shared" si="14"/>
        <v>7.1000000000000005</v>
      </c>
      <c r="M31" s="137">
        <f t="shared" si="14"/>
        <v>7.2</v>
      </c>
      <c r="N31" s="137">
        <f t="shared" si="14"/>
        <v>7.0000000000000009</v>
      </c>
      <c r="O31" s="137">
        <f t="shared" si="14"/>
        <v>7.3000000000000016</v>
      </c>
      <c r="P31" s="138">
        <f t="shared" si="13"/>
        <v>6.8</v>
      </c>
    </row>
    <row r="32" spans="2:16" s="320" customFormat="1" ht="21.75" customHeight="1" x14ac:dyDescent="0.25">
      <c r="B32" s="321" t="s">
        <v>155</v>
      </c>
      <c r="C32" s="317" t="s">
        <v>10</v>
      </c>
      <c r="D32" s="318"/>
      <c r="E32" s="318"/>
      <c r="F32" s="318"/>
      <c r="G32" s="318"/>
      <c r="H32" s="318">
        <f>ROUND(2000/H9,1)</f>
        <v>1.5</v>
      </c>
      <c r="I32" s="318">
        <f>ROUND(1900/I9,1)</f>
        <v>1.5</v>
      </c>
      <c r="J32" s="318">
        <f>ROUND(2100/J9,1)</f>
        <v>1.7</v>
      </c>
      <c r="K32" s="318">
        <f>ROUND(2000/K9,1)</f>
        <v>1.7</v>
      </c>
      <c r="L32" s="318">
        <f>ROUND(2000/L9,1)</f>
        <v>1.7</v>
      </c>
      <c r="M32" s="318">
        <f>ROUND(2000/M9,1)</f>
        <v>1.8</v>
      </c>
      <c r="N32" s="318">
        <f>ROUND(1900/N9,1)</f>
        <v>1.6</v>
      </c>
      <c r="O32" s="318">
        <f>ROUND(1900/O9,1)</f>
        <v>1.7</v>
      </c>
      <c r="P32" s="319">
        <f t="shared" si="13"/>
        <v>1.6</v>
      </c>
    </row>
    <row r="33" spans="2:22" s="320" customFormat="1" ht="21.75" customHeight="1" x14ac:dyDescent="0.25">
      <c r="B33" s="321" t="s">
        <v>156</v>
      </c>
      <c r="C33" s="317" t="s">
        <v>10</v>
      </c>
      <c r="D33" s="318"/>
      <c r="E33" s="318"/>
      <c r="F33" s="318"/>
      <c r="G33" s="318"/>
      <c r="H33" s="318">
        <f>ROUND(700/H9,1)</f>
        <v>0.5</v>
      </c>
      <c r="I33" s="318">
        <f>ROUND(700/I9,1)</f>
        <v>0.5</v>
      </c>
      <c r="J33" s="318">
        <f>ROUND(800/J9,1)</f>
        <v>0.7</v>
      </c>
      <c r="K33" s="318">
        <f>ROUND(750/K9,1)</f>
        <v>0.6</v>
      </c>
      <c r="L33" s="318">
        <f>ROUND(750/L9,1)</f>
        <v>0.6</v>
      </c>
      <c r="M33" s="318">
        <f>ROUND(800/M9,1)</f>
        <v>0.7</v>
      </c>
      <c r="N33" s="318">
        <f>ROUND(700/N9,1)</f>
        <v>0.6</v>
      </c>
      <c r="O33" s="318">
        <f>ROUND(700/O9,1)</f>
        <v>0.6</v>
      </c>
      <c r="P33" s="319">
        <f t="shared" si="13"/>
        <v>0.6</v>
      </c>
    </row>
    <row r="34" spans="2:22" s="320" customFormat="1" ht="21.75" customHeight="1" x14ac:dyDescent="0.25">
      <c r="B34" s="321" t="s">
        <v>157</v>
      </c>
      <c r="C34" s="317" t="s">
        <v>10</v>
      </c>
      <c r="D34" s="318"/>
      <c r="E34" s="318"/>
      <c r="F34" s="318"/>
      <c r="G34" s="318"/>
      <c r="H34" s="318">
        <f t="shared" ref="H34:N34" si="15">ROUND(1400/H9,1)</f>
        <v>1.1000000000000001</v>
      </c>
      <c r="I34" s="318">
        <f t="shared" si="15"/>
        <v>1.1000000000000001</v>
      </c>
      <c r="J34" s="318">
        <f t="shared" si="15"/>
        <v>1.2</v>
      </c>
      <c r="K34" s="318">
        <f t="shared" si="15"/>
        <v>1.2</v>
      </c>
      <c r="L34" s="318">
        <f t="shared" si="15"/>
        <v>1.2</v>
      </c>
      <c r="M34" s="318">
        <f t="shared" si="15"/>
        <v>1.2</v>
      </c>
      <c r="N34" s="318">
        <f t="shared" si="15"/>
        <v>1.2</v>
      </c>
      <c r="O34" s="318">
        <f>ROUND(1400/O9,1)</f>
        <v>1.2</v>
      </c>
      <c r="P34" s="319">
        <f>ROUND((D34*$D$9+E34*$E$9+F34*$F$9+G34*$G$9+H34*$H$9+I34*$I$9+J34*$J$9+K34*$K$9+L34*$L$9+M34*$M$9+N34*$N$9+O34*$O$9)/$P$9,1)</f>
        <v>1.2</v>
      </c>
    </row>
    <row r="35" spans="2:22" ht="21.75" customHeight="1" x14ac:dyDescent="0.25">
      <c r="B35" s="39" t="s">
        <v>23</v>
      </c>
      <c r="C35" s="40" t="s">
        <v>10</v>
      </c>
      <c r="D35" s="249"/>
      <c r="E35" s="249"/>
      <c r="F35" s="249"/>
      <c r="G35" s="249"/>
      <c r="H35" s="249">
        <f t="shared" ref="H35:N35" si="16">SUM(H18:H30)-H20-H21</f>
        <v>917.99999999999989</v>
      </c>
      <c r="I35" s="249">
        <f t="shared" si="16"/>
        <v>916.9</v>
      </c>
      <c r="J35" s="249">
        <f t="shared" si="16"/>
        <v>938.90000000000009</v>
      </c>
      <c r="K35" s="249">
        <f t="shared" si="16"/>
        <v>938.4000000000002</v>
      </c>
      <c r="L35" s="249">
        <f t="shared" si="16"/>
        <v>938.6</v>
      </c>
      <c r="M35" s="249">
        <f t="shared" si="16"/>
        <v>938.50000000000011</v>
      </c>
      <c r="N35" s="249">
        <f t="shared" si="16"/>
        <v>937.8</v>
      </c>
      <c r="O35" s="249">
        <f>SUM(O18:O30)-O20-O21</f>
        <v>938.40000000000009</v>
      </c>
      <c r="P35" s="150">
        <f>SUM(P18:P30)-P20-P21</f>
        <v>932.7</v>
      </c>
    </row>
    <row r="36" spans="2:22" s="320" customFormat="1" ht="21.75" customHeight="1" x14ac:dyDescent="0.25">
      <c r="B36" s="321" t="s">
        <v>24</v>
      </c>
      <c r="C36" s="317" t="s">
        <v>10</v>
      </c>
      <c r="D36" s="322"/>
      <c r="E36" s="322"/>
      <c r="F36" s="322"/>
      <c r="G36" s="322"/>
      <c r="H36" s="322">
        <v>25</v>
      </c>
      <c r="I36" s="322">
        <v>25</v>
      </c>
      <c r="J36" s="322">
        <v>25</v>
      </c>
      <c r="K36" s="322">
        <v>25</v>
      </c>
      <c r="L36" s="322">
        <v>25</v>
      </c>
      <c r="M36" s="322">
        <v>25</v>
      </c>
      <c r="N36" s="322">
        <v>25</v>
      </c>
      <c r="O36" s="322">
        <v>25</v>
      </c>
      <c r="P36" s="319">
        <f t="shared" ref="P36:P42" si="17">ROUND((D36*$D$9+E36*$E$9+F36*$F$9+G36*$G$9+H36*$H$9+I36*$I$9+J36*$J$9+K36*$K$9+L36*$L$9+M36*$M$9+N36*$N$9+O36*$O$9)/$P$9,1)</f>
        <v>25</v>
      </c>
    </row>
    <row r="37" spans="2:22" s="320" customFormat="1" ht="21.75" customHeight="1" x14ac:dyDescent="0.25">
      <c r="B37" s="321" t="s">
        <v>25</v>
      </c>
      <c r="C37" s="317" t="s">
        <v>10</v>
      </c>
      <c r="D37" s="322"/>
      <c r="E37" s="322"/>
      <c r="F37" s="322"/>
      <c r="G37" s="322"/>
      <c r="H37" s="322">
        <v>45</v>
      </c>
      <c r="I37" s="322">
        <v>45</v>
      </c>
      <c r="J37" s="322">
        <v>45</v>
      </c>
      <c r="K37" s="322">
        <v>45</v>
      </c>
      <c r="L37" s="322">
        <v>45</v>
      </c>
      <c r="M37" s="322">
        <v>45</v>
      </c>
      <c r="N37" s="322">
        <v>45</v>
      </c>
      <c r="O37" s="322">
        <v>45</v>
      </c>
      <c r="P37" s="319">
        <f t="shared" si="17"/>
        <v>45</v>
      </c>
    </row>
    <row r="38" spans="2:22" s="320" customFormat="1" ht="31.5" x14ac:dyDescent="0.25">
      <c r="B38" s="316" t="s">
        <v>26</v>
      </c>
      <c r="C38" s="317" t="s">
        <v>10</v>
      </c>
      <c r="D38" s="322"/>
      <c r="E38" s="322"/>
      <c r="F38" s="322"/>
      <c r="G38" s="322"/>
      <c r="H38" s="322">
        <v>31.1</v>
      </c>
      <c r="I38" s="322">
        <v>31.3</v>
      </c>
      <c r="J38" s="322">
        <v>31.1</v>
      </c>
      <c r="K38" s="322">
        <v>31.2</v>
      </c>
      <c r="L38" s="322">
        <v>31.1</v>
      </c>
      <c r="M38" s="322">
        <v>31.2</v>
      </c>
      <c r="N38" s="322">
        <v>31.2</v>
      </c>
      <c r="O38" s="322">
        <v>30.8</v>
      </c>
      <c r="P38" s="319">
        <f>ROUND((D38*$D$9+E38*$E$9+F38*$F$9+G38*$G$9+H38*$H$9+I38*$I$9+J38*$J$9+K38*$K$9+L38*$L$9+M38*$M$9+N38*$N$9+O38*$O$9)/$P$9,1)</f>
        <v>31.1</v>
      </c>
    </row>
    <row r="39" spans="2:22" s="320" customFormat="1" ht="31.5" x14ac:dyDescent="0.25">
      <c r="B39" s="316" t="s">
        <v>27</v>
      </c>
      <c r="C39" s="317" t="s">
        <v>10</v>
      </c>
      <c r="D39" s="318"/>
      <c r="E39" s="318"/>
      <c r="F39" s="318"/>
      <c r="G39" s="318"/>
      <c r="H39" s="318">
        <v>34.299999999999997</v>
      </c>
      <c r="I39" s="318">
        <v>34</v>
      </c>
      <c r="J39" s="318">
        <v>26.3</v>
      </c>
      <c r="K39" s="318">
        <v>26.1</v>
      </c>
      <c r="L39" s="318">
        <v>25.8</v>
      </c>
      <c r="M39" s="318">
        <v>25.9</v>
      </c>
      <c r="N39" s="318">
        <v>26.4</v>
      </c>
      <c r="O39" s="318">
        <v>25.8</v>
      </c>
      <c r="P39" s="319">
        <f t="shared" si="17"/>
        <v>28.2</v>
      </c>
      <c r="V39" s="320" t="s">
        <v>97</v>
      </c>
    </row>
    <row r="40" spans="2:22" s="320" customFormat="1" ht="25.5" customHeight="1" x14ac:dyDescent="0.25">
      <c r="B40" s="321" t="s">
        <v>28</v>
      </c>
      <c r="C40" s="317" t="s">
        <v>10</v>
      </c>
      <c r="D40" s="318"/>
      <c r="E40" s="318"/>
      <c r="F40" s="318"/>
      <c r="G40" s="318"/>
      <c r="H40" s="318">
        <v>103</v>
      </c>
      <c r="I40" s="318">
        <v>103.6</v>
      </c>
      <c r="J40" s="318">
        <v>78.400000000000006</v>
      </c>
      <c r="K40" s="318">
        <v>80</v>
      </c>
      <c r="L40" s="318">
        <v>79.2</v>
      </c>
      <c r="M40" s="318">
        <v>79.3</v>
      </c>
      <c r="N40" s="318">
        <v>79.400000000000006</v>
      </c>
      <c r="O40" s="318">
        <v>78</v>
      </c>
      <c r="P40" s="319">
        <f>ROUND((D40*$D$9+E40*$E$9+F40*$F$9+G40*$G$9+H40*$H$9+I40*$I$9+J40*$J$9+K40*$K$9+L40*$L$9+M40*$M$9+N40*$N$9+O40*$O$9)/$P$9,1)</f>
        <v>85.6</v>
      </c>
    </row>
    <row r="41" spans="2:22" ht="25.5" customHeight="1" x14ac:dyDescent="0.25">
      <c r="B41" s="39" t="s">
        <v>29</v>
      </c>
      <c r="C41" s="40" t="s">
        <v>10</v>
      </c>
      <c r="D41" s="250"/>
      <c r="E41" s="250"/>
      <c r="F41" s="250"/>
      <c r="G41" s="250"/>
      <c r="H41" s="250">
        <f t="shared" ref="H41:J41" si="18">SUM(H36:H40)</f>
        <v>238.39999999999998</v>
      </c>
      <c r="I41" s="250">
        <f>SUM(I36:I40)</f>
        <v>238.9</v>
      </c>
      <c r="J41" s="250">
        <f t="shared" si="18"/>
        <v>205.8</v>
      </c>
      <c r="K41" s="250">
        <f t="shared" ref="K41:O41" si="19">SUM(K36:K40)</f>
        <v>207.3</v>
      </c>
      <c r="L41" s="250">
        <f t="shared" si="19"/>
        <v>206.1</v>
      </c>
      <c r="M41" s="250">
        <f t="shared" si="19"/>
        <v>206.39999999999998</v>
      </c>
      <c r="N41" s="250">
        <f t="shared" si="19"/>
        <v>207</v>
      </c>
      <c r="O41" s="250">
        <f t="shared" si="19"/>
        <v>204.6</v>
      </c>
      <c r="P41" s="150">
        <f>SUM(P36:P40)</f>
        <v>214.89999999999998</v>
      </c>
    </row>
    <row r="42" spans="2:22" s="320" customFormat="1" ht="25.5" customHeight="1" x14ac:dyDescent="0.25">
      <c r="B42" s="321" t="s">
        <v>30</v>
      </c>
      <c r="C42" s="317" t="s">
        <v>10</v>
      </c>
      <c r="D42" s="322"/>
      <c r="E42" s="322"/>
      <c r="F42" s="322"/>
      <c r="G42" s="322"/>
      <c r="H42" s="322">
        <v>45.1</v>
      </c>
      <c r="I42" s="322">
        <v>45.4</v>
      </c>
      <c r="J42" s="322">
        <v>44.5</v>
      </c>
      <c r="K42" s="322">
        <v>44.5</v>
      </c>
      <c r="L42" s="322">
        <v>44.5</v>
      </c>
      <c r="M42" s="322">
        <v>44.5</v>
      </c>
      <c r="N42" s="322">
        <v>44.5</v>
      </c>
      <c r="O42" s="322">
        <v>44.5</v>
      </c>
      <c r="P42" s="319">
        <f t="shared" si="17"/>
        <v>44.7</v>
      </c>
    </row>
    <row r="43" spans="2:22" ht="25.5" customHeight="1" x14ac:dyDescent="0.25">
      <c r="B43" s="39" t="s">
        <v>31</v>
      </c>
      <c r="C43" s="40" t="s">
        <v>32</v>
      </c>
      <c r="D43" s="251"/>
      <c r="E43" s="251"/>
      <c r="F43" s="251"/>
      <c r="G43" s="251"/>
      <c r="H43" s="251">
        <v>54.72</v>
      </c>
      <c r="I43" s="251">
        <v>55.21</v>
      </c>
      <c r="J43" s="251">
        <v>57.01</v>
      </c>
      <c r="K43" s="251">
        <v>56.85</v>
      </c>
      <c r="L43" s="251">
        <v>56.96</v>
      </c>
      <c r="M43" s="251">
        <v>56.96</v>
      </c>
      <c r="N43" s="251">
        <v>56.9</v>
      </c>
      <c r="O43" s="251">
        <v>56.98</v>
      </c>
      <c r="P43" s="151">
        <f>ROUND((D43*$D$9+E43*$E$9+F43*$F$9+G43*$G$9+H43*$H$9+I43*$I$9+J43*$J$9+K43*$K$9+L43*$L$9+M43*$M$9+N43*$N$9+O43*$O$9)/$P$9,2)</f>
        <v>56.41</v>
      </c>
    </row>
    <row r="44" spans="2:22" ht="25.5" customHeight="1" thickBot="1" x14ac:dyDescent="0.3">
      <c r="B44" s="2" t="s">
        <v>33</v>
      </c>
      <c r="C44" s="3"/>
      <c r="D44" s="252"/>
      <c r="E44" s="252"/>
      <c r="F44" s="252"/>
      <c r="G44" s="252"/>
      <c r="H44" s="252">
        <v>1.75</v>
      </c>
      <c r="I44" s="252">
        <v>1.8</v>
      </c>
      <c r="J44" s="252">
        <v>1.65</v>
      </c>
      <c r="K44" s="252">
        <v>1.65</v>
      </c>
      <c r="L44" s="252">
        <v>1.65</v>
      </c>
      <c r="M44" s="252">
        <v>1.65</v>
      </c>
      <c r="N44" s="252">
        <v>1.65</v>
      </c>
      <c r="O44" s="252">
        <v>1.65</v>
      </c>
      <c r="P44" s="152">
        <f>ROUND((D44*$D$9+E44*$E$9+F44*$F$9+G44*$G$9+H44*$H$9+I44*$I$9+J44*$J$9+K44*$K$9+L44*$L$9+M44*$M$9+N44*$N$9+O44*$O$9)/$P$9,2)</f>
        <v>1.68</v>
      </c>
    </row>
    <row r="45" spans="2:22" x14ac:dyDescent="0.25">
      <c r="B45" s="2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</row>
    <row r="46" spans="2:22" x14ac:dyDescent="0.25">
      <c r="B46" s="25" t="s">
        <v>34</v>
      </c>
      <c r="C46" s="155"/>
      <c r="D46" s="25"/>
      <c r="E46" s="2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</row>
    <row r="47" spans="2:22" x14ac:dyDescent="0.25">
      <c r="B47" s="312" t="s">
        <v>35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</row>
    <row r="48" spans="2:22" x14ac:dyDescent="0.25">
      <c r="B48" s="312" t="s">
        <v>36</v>
      </c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</row>
    <row r="49" spans="2:16" x14ac:dyDescent="0.25">
      <c r="B49" s="25" t="s">
        <v>37</v>
      </c>
      <c r="C49" s="155"/>
      <c r="D49" s="25"/>
      <c r="E49" s="2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</row>
    <row r="50" spans="2:16" x14ac:dyDescent="0.25">
      <c r="B50" s="37" t="s">
        <v>38</v>
      </c>
      <c r="C50" s="37" t="s">
        <v>5</v>
      </c>
      <c r="D50" s="4"/>
      <c r="E50" s="4"/>
      <c r="F50" s="4"/>
      <c r="G50" s="4"/>
      <c r="H50" s="4">
        <f t="shared" ref="H50:P50" si="20">H8</f>
        <v>43952</v>
      </c>
      <c r="I50" s="4">
        <f t="shared" si="20"/>
        <v>43983</v>
      </c>
      <c r="J50" s="4">
        <f t="shared" si="20"/>
        <v>44013</v>
      </c>
      <c r="K50" s="4">
        <f t="shared" si="20"/>
        <v>44044</v>
      </c>
      <c r="L50" s="4">
        <f t="shared" si="20"/>
        <v>44075</v>
      </c>
      <c r="M50" s="4">
        <f t="shared" si="20"/>
        <v>44105</v>
      </c>
      <c r="N50" s="4">
        <f t="shared" si="20"/>
        <v>44136</v>
      </c>
      <c r="O50" s="4">
        <f t="shared" si="20"/>
        <v>44166</v>
      </c>
      <c r="P50" s="4" t="str">
        <f t="shared" si="20"/>
        <v>2020 г.</v>
      </c>
    </row>
    <row r="51" spans="2:16" ht="31.5" x14ac:dyDescent="0.25">
      <c r="B51" s="5" t="s">
        <v>39</v>
      </c>
      <c r="C51" s="153" t="s">
        <v>10</v>
      </c>
      <c r="D51" s="154"/>
      <c r="E51" s="154"/>
      <c r="F51" s="154"/>
      <c r="G51" s="154"/>
      <c r="H51" s="154">
        <f t="shared" ref="H51:O51" si="21">H25</f>
        <v>90.1</v>
      </c>
      <c r="I51" s="154">
        <f t="shared" si="21"/>
        <v>89.2</v>
      </c>
      <c r="J51" s="154">
        <f t="shared" si="21"/>
        <v>88.4</v>
      </c>
      <c r="K51" s="154">
        <f t="shared" si="21"/>
        <v>88.3</v>
      </c>
      <c r="L51" s="154">
        <f t="shared" si="21"/>
        <v>88.4</v>
      </c>
      <c r="M51" s="154">
        <f t="shared" si="21"/>
        <v>87.8</v>
      </c>
      <c r="N51" s="154">
        <f t="shared" si="21"/>
        <v>89</v>
      </c>
      <c r="O51" s="154">
        <f t="shared" si="21"/>
        <v>92.5</v>
      </c>
      <c r="P51" s="190">
        <f>ROUND((D51*$D$9+E51*$E$9+F51*$F$9+G51*$G$9+H51*$H$9+I51*$I$9+J51*$J$9+K51*$K$9+L51*$L$9+M51*$M$9+N51*$N$9+O51*$O$9)/$P$9,1)</f>
        <v>89.2</v>
      </c>
    </row>
    <row r="52" spans="2:16" x14ac:dyDescent="0.25">
      <c r="B52" s="25" t="s">
        <v>40</v>
      </c>
      <c r="C52" s="155"/>
      <c r="D52" s="25"/>
      <c r="E52" s="2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</row>
    <row r="53" spans="2:16" x14ac:dyDescent="0.25">
      <c r="B53" s="25" t="s">
        <v>41</v>
      </c>
      <c r="C53" s="155"/>
      <c r="D53" s="25"/>
      <c r="E53" s="2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</row>
    <row r="54" spans="2:16" x14ac:dyDescent="0.25">
      <c r="B54" s="25" t="s">
        <v>42</v>
      </c>
      <c r="C54" s="155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5"/>
    </row>
  </sheetData>
  <mergeCells count="2">
    <mergeCell ref="B47:P47"/>
    <mergeCell ref="B48:P48"/>
  </mergeCells>
  <pageMargins left="0.51181102362204722" right="0.31496062992125984" top="0.35433070866141736" bottom="0.19685039370078741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B1:R35"/>
  <sheetViews>
    <sheetView showFormulas="1" view="pageBreakPreview" topLeftCell="A4" zoomScaleNormal="100" zoomScaleSheetLayoutView="100" workbookViewId="0">
      <selection activeCell="B5" sqref="B5"/>
    </sheetView>
  </sheetViews>
  <sheetFormatPr defaultColWidth="9.140625" defaultRowHeight="15" x14ac:dyDescent="0.25"/>
  <cols>
    <col min="1" max="1" width="2.140625" style="160" customWidth="1"/>
    <col min="2" max="2" width="44.85546875" style="160" customWidth="1"/>
    <col min="3" max="3" width="11" style="160" bestFit="1" customWidth="1"/>
    <col min="4" max="7" width="9.140625" style="160" hidden="1" customWidth="1"/>
    <col min="8" max="15" width="9.140625" style="160" customWidth="1"/>
    <col min="16" max="16" width="21.7109375" style="160" bestFit="1" customWidth="1"/>
    <col min="17" max="17" width="2.28515625" style="160" customWidth="1"/>
    <col min="18" max="16384" width="9.140625" style="160"/>
  </cols>
  <sheetData>
    <row r="1" spans="2:18" ht="15.75" x14ac:dyDescent="0.25">
      <c r="P1" s="23" t="s">
        <v>134</v>
      </c>
    </row>
    <row r="2" spans="2:18" ht="15.75" x14ac:dyDescent="0.25">
      <c r="B2" s="193" t="s">
        <v>1</v>
      </c>
      <c r="C2" s="168"/>
      <c r="D2" s="168"/>
      <c r="E2" s="169"/>
      <c r="F2" s="169"/>
      <c r="G2" s="169"/>
      <c r="H2" s="169"/>
      <c r="I2" s="169"/>
      <c r="J2" s="168"/>
      <c r="K2" s="169"/>
      <c r="L2" s="169"/>
      <c r="M2" s="169"/>
      <c r="O2" s="169"/>
      <c r="P2" s="23" t="s">
        <v>222</v>
      </c>
      <c r="Q2" s="168"/>
      <c r="R2" s="168"/>
    </row>
    <row r="3" spans="2:18" ht="15.75" x14ac:dyDescent="0.25">
      <c r="B3" s="168" t="s">
        <v>110</v>
      </c>
      <c r="C3" s="168"/>
      <c r="D3" s="168"/>
      <c r="E3" s="169"/>
      <c r="F3" s="169"/>
      <c r="G3" s="169"/>
      <c r="H3" s="169"/>
      <c r="I3" s="169"/>
      <c r="J3" s="168"/>
      <c r="K3" s="169"/>
      <c r="L3" s="169"/>
      <c r="M3" s="169"/>
      <c r="N3" s="169"/>
      <c r="O3" s="169"/>
      <c r="P3" s="27"/>
      <c r="Q3" s="168"/>
      <c r="R3" s="168"/>
    </row>
    <row r="4" spans="2:18" ht="15.75" x14ac:dyDescent="0.25">
      <c r="B4" s="168" t="s">
        <v>111</v>
      </c>
      <c r="C4" s="168"/>
      <c r="D4" s="168"/>
      <c r="E4" s="169"/>
      <c r="F4" s="169"/>
      <c r="G4" s="169"/>
      <c r="H4" s="169"/>
      <c r="I4" s="169"/>
      <c r="J4" s="168"/>
      <c r="K4" s="169"/>
      <c r="L4" s="169"/>
      <c r="M4" s="169"/>
      <c r="N4" s="169"/>
      <c r="O4" s="169"/>
      <c r="P4" s="27"/>
      <c r="Q4" s="168"/>
      <c r="R4" s="168"/>
    </row>
    <row r="5" spans="2:18" ht="14.25" customHeight="1" x14ac:dyDescent="0.3">
      <c r="B5" s="194" t="s">
        <v>221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68"/>
      <c r="Q5" s="168"/>
      <c r="R5" s="168"/>
    </row>
    <row r="6" spans="2:18" ht="14.25" customHeight="1" thickBot="1" x14ac:dyDescent="0.3">
      <c r="B6" s="168"/>
      <c r="C6" s="168"/>
      <c r="D6" s="168"/>
      <c r="E6" s="169"/>
      <c r="F6" s="169"/>
      <c r="G6" s="169"/>
      <c r="H6" s="169"/>
      <c r="I6" s="169"/>
      <c r="J6" s="168"/>
      <c r="K6" s="169"/>
      <c r="L6" s="169"/>
      <c r="M6" s="169"/>
      <c r="N6" s="169"/>
      <c r="O6" s="169"/>
      <c r="P6" s="168"/>
      <c r="Q6" s="168"/>
      <c r="R6" s="168"/>
    </row>
    <row r="7" spans="2:18" ht="16.5" thickBot="1" x14ac:dyDescent="0.3">
      <c r="B7" s="184" t="s">
        <v>38</v>
      </c>
      <c r="C7" s="311" t="s">
        <v>5</v>
      </c>
      <c r="D7" s="189"/>
      <c r="E7" s="30"/>
      <c r="F7" s="30"/>
      <c r="G7" s="30"/>
      <c r="H7" s="30">
        <v>43952</v>
      </c>
      <c r="I7" s="30">
        <v>43983</v>
      </c>
      <c r="J7" s="30">
        <v>44013</v>
      </c>
      <c r="K7" s="30">
        <v>44044</v>
      </c>
      <c r="L7" s="30">
        <v>44075</v>
      </c>
      <c r="M7" s="30">
        <v>44105</v>
      </c>
      <c r="N7" s="30">
        <v>44136</v>
      </c>
      <c r="O7" s="30">
        <v>44166</v>
      </c>
      <c r="P7" s="6" t="s">
        <v>150</v>
      </c>
      <c r="Q7" s="168"/>
      <c r="R7" s="168"/>
    </row>
    <row r="8" spans="2:18" s="328" customFormat="1" ht="15.75" x14ac:dyDescent="0.25">
      <c r="B8" s="323" t="s">
        <v>129</v>
      </c>
      <c r="C8" s="324" t="s">
        <v>92</v>
      </c>
      <c r="D8" s="325"/>
      <c r="E8" s="325"/>
      <c r="F8" s="325"/>
      <c r="G8" s="325"/>
      <c r="H8" s="325">
        <v>30</v>
      </c>
      <c r="I8" s="325">
        <v>58.3</v>
      </c>
      <c r="J8" s="325">
        <v>58.3</v>
      </c>
      <c r="K8" s="325">
        <v>58.3</v>
      </c>
      <c r="L8" s="325">
        <v>58.3</v>
      </c>
      <c r="M8" s="325">
        <v>58.3</v>
      </c>
      <c r="N8" s="325">
        <v>58.3</v>
      </c>
      <c r="O8" s="325">
        <v>58.3</v>
      </c>
      <c r="P8" s="326">
        <f>SUM(D8:O8)</f>
        <v>438.1</v>
      </c>
      <c r="Q8" s="327"/>
      <c r="R8" s="327"/>
    </row>
    <row r="9" spans="2:18" s="328" customFormat="1" ht="47.25" x14ac:dyDescent="0.25">
      <c r="B9" s="329" t="s">
        <v>135</v>
      </c>
      <c r="C9" s="330" t="s">
        <v>10</v>
      </c>
      <c r="D9" s="325"/>
      <c r="E9" s="325"/>
      <c r="F9" s="325"/>
      <c r="G9" s="325"/>
      <c r="H9" s="325">
        <v>323.07044571428571</v>
      </c>
      <c r="I9" s="325">
        <v>307.57907393939411</v>
      </c>
      <c r="J9" s="325">
        <v>307</v>
      </c>
      <c r="K9" s="325">
        <v>307.10000000000002</v>
      </c>
      <c r="L9" s="325">
        <v>333.2</v>
      </c>
      <c r="M9" s="325">
        <v>369.7</v>
      </c>
      <c r="N9" s="325">
        <v>346.8</v>
      </c>
      <c r="O9" s="325">
        <v>396.4</v>
      </c>
      <c r="P9" s="319">
        <f>ROUND(SUMPRODUCT($D$8:$O$8,D9:O9)/$P$8,2)</f>
        <v>337.21</v>
      </c>
      <c r="Q9" s="327"/>
      <c r="R9" s="327"/>
    </row>
    <row r="10" spans="2:18" s="328" customFormat="1" ht="31.5" x14ac:dyDescent="0.25">
      <c r="B10" s="331" t="s">
        <v>136</v>
      </c>
      <c r="C10" s="332" t="s">
        <v>10</v>
      </c>
      <c r="D10" s="325"/>
      <c r="E10" s="325"/>
      <c r="F10" s="325"/>
      <c r="G10" s="325"/>
      <c r="H10" s="325">
        <v>120</v>
      </c>
      <c r="I10" s="325">
        <v>111.5</v>
      </c>
      <c r="J10" s="325">
        <v>111.5</v>
      </c>
      <c r="K10" s="325">
        <v>111.5</v>
      </c>
      <c r="L10" s="325">
        <v>111.5</v>
      </c>
      <c r="M10" s="325">
        <v>68.599999999999994</v>
      </c>
      <c r="N10" s="325">
        <v>0</v>
      </c>
      <c r="O10" s="325">
        <v>0</v>
      </c>
      <c r="P10" s="319">
        <f t="shared" ref="P10:P14" si="0">ROUND(SUMPRODUCT($D$8:$O$8,D10:O10)/$P$8,2)</f>
        <v>76.7</v>
      </c>
      <c r="Q10" s="327"/>
      <c r="R10" s="327"/>
    </row>
    <row r="11" spans="2:18" s="328" customFormat="1" ht="15.75" x14ac:dyDescent="0.25">
      <c r="B11" s="333" t="s">
        <v>137</v>
      </c>
      <c r="C11" s="332" t="s">
        <v>10</v>
      </c>
      <c r="D11" s="325"/>
      <c r="E11" s="325"/>
      <c r="F11" s="325"/>
      <c r="G11" s="325"/>
      <c r="H11" s="325">
        <v>111.92955428571426</v>
      </c>
      <c r="I11" s="325">
        <v>135.92092606060592</v>
      </c>
      <c r="J11" s="325">
        <v>136.69999999999999</v>
      </c>
      <c r="K11" s="325">
        <v>136.69999999999999</v>
      </c>
      <c r="L11" s="325">
        <v>120.7</v>
      </c>
      <c r="M11" s="325">
        <v>141.6</v>
      </c>
      <c r="N11" s="325">
        <v>214.4</v>
      </c>
      <c r="O11" s="325">
        <v>188</v>
      </c>
      <c r="P11" s="319">
        <f t="shared" si="0"/>
        <v>150.59</v>
      </c>
      <c r="Q11" s="327"/>
      <c r="R11" s="327"/>
    </row>
    <row r="12" spans="2:18" s="328" customFormat="1" ht="15.75" x14ac:dyDescent="0.25">
      <c r="B12" s="333" t="s">
        <v>112</v>
      </c>
      <c r="C12" s="332" t="s">
        <v>10</v>
      </c>
      <c r="D12" s="325"/>
      <c r="E12" s="325"/>
      <c r="F12" s="325"/>
      <c r="G12" s="325"/>
      <c r="H12" s="325">
        <v>0</v>
      </c>
      <c r="I12" s="325">
        <v>0</v>
      </c>
      <c r="J12" s="325">
        <v>0</v>
      </c>
      <c r="K12" s="325">
        <v>0</v>
      </c>
      <c r="L12" s="325">
        <v>0</v>
      </c>
      <c r="M12" s="325">
        <v>0</v>
      </c>
      <c r="N12" s="325">
        <v>0</v>
      </c>
      <c r="O12" s="325">
        <v>0</v>
      </c>
      <c r="P12" s="319">
        <f t="shared" si="0"/>
        <v>0</v>
      </c>
      <c r="Q12" s="327"/>
      <c r="R12" s="327"/>
    </row>
    <row r="13" spans="2:18" s="328" customFormat="1" ht="15.75" x14ac:dyDescent="0.25">
      <c r="B13" s="333" t="s">
        <v>113</v>
      </c>
      <c r="C13" s="332" t="s">
        <v>10</v>
      </c>
      <c r="D13" s="325"/>
      <c r="E13" s="325"/>
      <c r="F13" s="325"/>
      <c r="G13" s="325"/>
      <c r="H13" s="325">
        <v>150</v>
      </c>
      <c r="I13" s="325">
        <v>150</v>
      </c>
      <c r="J13" s="325">
        <v>149.80000000000001</v>
      </c>
      <c r="K13" s="325">
        <v>149.69999999999999</v>
      </c>
      <c r="L13" s="325">
        <v>139.6</v>
      </c>
      <c r="M13" s="325">
        <v>133</v>
      </c>
      <c r="N13" s="325">
        <v>143.80000000000001</v>
      </c>
      <c r="O13" s="325">
        <v>133.30000000000001</v>
      </c>
      <c r="P13" s="319">
        <f t="shared" si="0"/>
        <v>143.24</v>
      </c>
      <c r="Q13" s="327"/>
      <c r="R13" s="327"/>
    </row>
    <row r="14" spans="2:18" s="328" customFormat="1" ht="16.5" thickBot="1" x14ac:dyDescent="0.3">
      <c r="B14" s="334" t="s">
        <v>114</v>
      </c>
      <c r="C14" s="335" t="s">
        <v>10</v>
      </c>
      <c r="D14" s="325"/>
      <c r="E14" s="325"/>
      <c r="F14" s="325"/>
      <c r="G14" s="325"/>
      <c r="H14" s="325">
        <v>180</v>
      </c>
      <c r="I14" s="325">
        <v>180</v>
      </c>
      <c r="J14" s="325">
        <v>180</v>
      </c>
      <c r="K14" s="325">
        <v>180</v>
      </c>
      <c r="L14" s="325">
        <v>180</v>
      </c>
      <c r="M14" s="325">
        <v>172.1</v>
      </c>
      <c r="N14" s="325">
        <v>180</v>
      </c>
      <c r="O14" s="325">
        <v>167.3</v>
      </c>
      <c r="P14" s="319">
        <f t="shared" si="0"/>
        <v>177.26</v>
      </c>
      <c r="Q14" s="327"/>
      <c r="R14" s="327"/>
    </row>
    <row r="15" spans="2:18" ht="16.5" thickBot="1" x14ac:dyDescent="0.3">
      <c r="B15" s="172" t="s">
        <v>115</v>
      </c>
      <c r="C15" s="173" t="s">
        <v>10</v>
      </c>
      <c r="D15" s="244"/>
      <c r="E15" s="244"/>
      <c r="F15" s="244"/>
      <c r="G15" s="244"/>
      <c r="H15" s="244">
        <f t="shared" ref="H15:J15" si="1">SUM(H9:H14)</f>
        <v>885</v>
      </c>
      <c r="I15" s="244">
        <f t="shared" si="1"/>
        <v>885</v>
      </c>
      <c r="J15" s="244">
        <f t="shared" si="1"/>
        <v>885</v>
      </c>
      <c r="K15" s="244">
        <f t="shared" ref="K15:O15" si="2">SUM(K9:K14)</f>
        <v>885</v>
      </c>
      <c r="L15" s="244">
        <f t="shared" si="2"/>
        <v>885</v>
      </c>
      <c r="M15" s="244">
        <f t="shared" si="2"/>
        <v>885</v>
      </c>
      <c r="N15" s="244">
        <f t="shared" si="2"/>
        <v>885</v>
      </c>
      <c r="O15" s="244">
        <f t="shared" si="2"/>
        <v>885</v>
      </c>
      <c r="P15" s="192">
        <f t="shared" ref="P15" si="3">SUM(P9:P14)</f>
        <v>885</v>
      </c>
      <c r="Q15" s="169"/>
      <c r="R15" s="169"/>
    </row>
    <row r="16" spans="2:18" s="328" customFormat="1" ht="31.5" x14ac:dyDescent="0.25">
      <c r="B16" s="336" t="s">
        <v>116</v>
      </c>
      <c r="C16" s="337" t="s">
        <v>10</v>
      </c>
      <c r="D16" s="325"/>
      <c r="E16" s="325"/>
      <c r="F16" s="325"/>
      <c r="G16" s="325"/>
      <c r="H16" s="325">
        <v>15</v>
      </c>
      <c r="I16" s="325">
        <v>15</v>
      </c>
      <c r="J16" s="325">
        <v>15</v>
      </c>
      <c r="K16" s="325">
        <v>15</v>
      </c>
      <c r="L16" s="325">
        <v>15</v>
      </c>
      <c r="M16" s="325">
        <v>15</v>
      </c>
      <c r="N16" s="325">
        <v>15</v>
      </c>
      <c r="O16" s="325">
        <v>15</v>
      </c>
      <c r="P16" s="319">
        <f>ROUND(SUMPRODUCT($D$8:$O$8,D16:O16)/$P$8,1)</f>
        <v>15</v>
      </c>
      <c r="Q16" s="338"/>
      <c r="R16" s="338"/>
    </row>
    <row r="17" spans="2:18" s="328" customFormat="1" ht="32.25" thickBot="1" x14ac:dyDescent="0.3">
      <c r="B17" s="339" t="s">
        <v>117</v>
      </c>
      <c r="C17" s="340" t="s">
        <v>10</v>
      </c>
      <c r="D17" s="325"/>
      <c r="E17" s="325"/>
      <c r="F17" s="325"/>
      <c r="G17" s="325"/>
      <c r="H17" s="325">
        <v>100</v>
      </c>
      <c r="I17" s="325">
        <v>100</v>
      </c>
      <c r="J17" s="325">
        <v>100</v>
      </c>
      <c r="K17" s="325">
        <v>100</v>
      </c>
      <c r="L17" s="325">
        <v>100</v>
      </c>
      <c r="M17" s="325">
        <v>100</v>
      </c>
      <c r="N17" s="325">
        <v>100</v>
      </c>
      <c r="O17" s="325">
        <v>100</v>
      </c>
      <c r="P17" s="319">
        <f>ROUND(SUMPRODUCT($D$8:$O$8,D17:O17)/$P$8,1)</f>
        <v>100</v>
      </c>
      <c r="Q17" s="338"/>
      <c r="R17" s="338"/>
    </row>
    <row r="18" spans="2:18" ht="16.5" thickBot="1" x14ac:dyDescent="0.3">
      <c r="B18" s="175" t="s">
        <v>118</v>
      </c>
      <c r="C18" s="173" t="s">
        <v>10</v>
      </c>
      <c r="D18" s="244"/>
      <c r="E18" s="244"/>
      <c r="F18" s="244"/>
      <c r="G18" s="244"/>
      <c r="H18" s="244">
        <f t="shared" ref="H18:J18" si="4">SUM(H15:H17)</f>
        <v>1000</v>
      </c>
      <c r="I18" s="244">
        <f t="shared" si="4"/>
        <v>1000</v>
      </c>
      <c r="J18" s="244">
        <f t="shared" si="4"/>
        <v>1000</v>
      </c>
      <c r="K18" s="244">
        <f t="shared" ref="K18:O18" si="5">SUM(K15:K17)</f>
        <v>1000</v>
      </c>
      <c r="L18" s="244">
        <f t="shared" si="5"/>
        <v>1000</v>
      </c>
      <c r="M18" s="244">
        <f t="shared" si="5"/>
        <v>1000</v>
      </c>
      <c r="N18" s="244">
        <f t="shared" si="5"/>
        <v>1000</v>
      </c>
      <c r="O18" s="244">
        <f t="shared" si="5"/>
        <v>1000</v>
      </c>
      <c r="P18" s="192">
        <f t="shared" ref="P18" si="6">SUM(P15:P17)</f>
        <v>1000</v>
      </c>
      <c r="Q18" s="169"/>
      <c r="R18" s="169"/>
    </row>
    <row r="19" spans="2:18" ht="15.75" x14ac:dyDescent="0.25">
      <c r="B19" s="176" t="s">
        <v>119</v>
      </c>
      <c r="C19" s="174" t="s">
        <v>32</v>
      </c>
      <c r="D19" s="204"/>
      <c r="E19" s="204"/>
      <c r="F19" s="204"/>
      <c r="G19" s="204"/>
      <c r="H19" s="204">
        <v>5</v>
      </c>
      <c r="I19" s="204">
        <v>5</v>
      </c>
      <c r="J19" s="204">
        <v>5</v>
      </c>
      <c r="K19" s="204">
        <v>5</v>
      </c>
      <c r="L19" s="204">
        <v>5</v>
      </c>
      <c r="M19" s="204">
        <v>5</v>
      </c>
      <c r="N19" s="204">
        <v>5</v>
      </c>
      <c r="O19" s="204">
        <v>5</v>
      </c>
      <c r="P19" s="166">
        <f>ROUND(SUMPRODUCT($D$8:$O$8,D19:O19)/$P$8,1)</f>
        <v>5</v>
      </c>
      <c r="Q19" s="169"/>
      <c r="R19" s="169"/>
    </row>
    <row r="20" spans="2:18" ht="15.75" x14ac:dyDescent="0.25">
      <c r="B20" s="177" t="s">
        <v>120</v>
      </c>
      <c r="C20" s="167" t="s">
        <v>32</v>
      </c>
      <c r="D20" s="210"/>
      <c r="E20" s="210"/>
      <c r="F20" s="210"/>
      <c r="G20" s="210"/>
      <c r="H20" s="210">
        <v>12.5</v>
      </c>
      <c r="I20" s="210">
        <v>12.9</v>
      </c>
      <c r="J20" s="210">
        <v>13</v>
      </c>
      <c r="K20" s="210">
        <v>13</v>
      </c>
      <c r="L20" s="210">
        <v>12.3</v>
      </c>
      <c r="M20" s="210">
        <v>11.6</v>
      </c>
      <c r="N20" s="210">
        <v>12.3</v>
      </c>
      <c r="O20" s="210">
        <v>11.1</v>
      </c>
      <c r="P20" s="138">
        <f t="shared" ref="P20" si="7">ROUND(SUMPRODUCT($D$8:$O$8,D20:O20)/$P$8,1)</f>
        <v>12.3</v>
      </c>
      <c r="Q20" s="169"/>
      <c r="R20" s="169"/>
    </row>
    <row r="21" spans="2:18" ht="18.75" x14ac:dyDescent="0.35">
      <c r="B21" s="178" t="s">
        <v>130</v>
      </c>
      <c r="C21" s="179" t="s">
        <v>32</v>
      </c>
      <c r="D21" s="245"/>
      <c r="E21" s="245"/>
      <c r="F21" s="245"/>
      <c r="G21" s="245"/>
      <c r="H21" s="245">
        <v>46.29</v>
      </c>
      <c r="I21" s="245">
        <v>45.99</v>
      </c>
      <c r="J21" s="245">
        <v>46.18</v>
      </c>
      <c r="K21" s="245">
        <v>46.18</v>
      </c>
      <c r="L21" s="245">
        <v>46.99</v>
      </c>
      <c r="M21" s="245">
        <v>47.89</v>
      </c>
      <c r="N21" s="245">
        <v>47.24</v>
      </c>
      <c r="O21" s="245">
        <v>48.52</v>
      </c>
      <c r="P21" s="186">
        <f>ROUND(SUMPRODUCT($D$8:$O$8,D21:O21)/$P$8,2)</f>
        <v>46.95</v>
      </c>
      <c r="Q21" s="169"/>
      <c r="R21" s="169"/>
    </row>
    <row r="22" spans="2:18" ht="15.75" x14ac:dyDescent="0.25">
      <c r="B22" s="178" t="s">
        <v>121</v>
      </c>
      <c r="C22" s="179"/>
      <c r="D22" s="245"/>
      <c r="E22" s="245"/>
      <c r="F22" s="245"/>
      <c r="G22" s="245"/>
      <c r="H22" s="245">
        <v>1.1200000000000001</v>
      </c>
      <c r="I22" s="245">
        <v>1.1399999999999999</v>
      </c>
      <c r="J22" s="245">
        <v>1.1599999999999999</v>
      </c>
      <c r="K22" s="245">
        <v>1.1599999999999999</v>
      </c>
      <c r="L22" s="245">
        <v>1.1399999999999999</v>
      </c>
      <c r="M22" s="245">
        <v>1.1200000000000001</v>
      </c>
      <c r="N22" s="245">
        <v>1.1299999999999999</v>
      </c>
      <c r="O22" s="245">
        <v>1.1100000000000001</v>
      </c>
      <c r="P22" s="186">
        <f t="shared" ref="P22:P23" si="8">ROUND(SUMPRODUCT($D$8:$O$8,D22:O22)/$P$8,2)</f>
        <v>1.1399999999999999</v>
      </c>
      <c r="Q22" s="168"/>
      <c r="R22" s="169"/>
    </row>
    <row r="23" spans="2:18" ht="15.75" x14ac:dyDescent="0.25">
      <c r="B23" s="180" t="s">
        <v>122</v>
      </c>
      <c r="C23" s="181" t="s">
        <v>32</v>
      </c>
      <c r="D23" s="246"/>
      <c r="E23" s="246"/>
      <c r="F23" s="246"/>
      <c r="G23" s="246"/>
      <c r="H23" s="246">
        <v>0.14099999999999999</v>
      </c>
      <c r="I23" s="246">
        <v>0.15</v>
      </c>
      <c r="J23" s="246">
        <v>0.15</v>
      </c>
      <c r="K23" s="246">
        <v>0.15</v>
      </c>
      <c r="L23" s="246">
        <v>0.14099999999999999</v>
      </c>
      <c r="M23" s="246">
        <v>0.13</v>
      </c>
      <c r="N23" s="246">
        <v>0.13600000000000001</v>
      </c>
      <c r="O23" s="246">
        <v>0.12</v>
      </c>
      <c r="P23" s="186">
        <f t="shared" si="8"/>
        <v>0.14000000000000001</v>
      </c>
      <c r="Q23" s="168"/>
      <c r="R23" s="168"/>
    </row>
    <row r="24" spans="2:18" ht="19.5" thickBot="1" x14ac:dyDescent="0.4">
      <c r="B24" s="182" t="s">
        <v>123</v>
      </c>
      <c r="C24" s="183" t="s">
        <v>32</v>
      </c>
      <c r="D24" s="146"/>
      <c r="E24" s="146"/>
      <c r="F24" s="146"/>
      <c r="G24" s="146"/>
      <c r="H24" s="146">
        <v>0.24</v>
      </c>
      <c r="I24" s="146">
        <v>0.25</v>
      </c>
      <c r="J24" s="146">
        <v>0.25</v>
      </c>
      <c r="K24" s="146">
        <v>0.25</v>
      </c>
      <c r="L24" s="146">
        <v>0.24</v>
      </c>
      <c r="M24" s="146">
        <v>0.24</v>
      </c>
      <c r="N24" s="146">
        <v>0.24</v>
      </c>
      <c r="O24" s="146">
        <v>0.23</v>
      </c>
      <c r="P24" s="187">
        <f>ROUND(SUMPRODUCT($D$8:$O$8,D24:O24)/$P$8,2)</f>
        <v>0.24</v>
      </c>
      <c r="Q24" s="168"/>
      <c r="R24" s="168"/>
    </row>
    <row r="25" spans="2:18" ht="15.75" x14ac:dyDescent="0.25">
      <c r="B25" s="168" t="s">
        <v>133</v>
      </c>
      <c r="C25" s="168"/>
      <c r="D25" s="168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8"/>
      <c r="Q25" s="168"/>
      <c r="R25" s="168"/>
    </row>
    <row r="26" spans="2:18" ht="15.75" x14ac:dyDescent="0.25">
      <c r="B26" s="168" t="s">
        <v>132</v>
      </c>
      <c r="C26" s="168"/>
      <c r="D26" s="168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8"/>
      <c r="Q26" s="168"/>
      <c r="R26" s="168"/>
    </row>
    <row r="27" spans="2:18" ht="15.75" x14ac:dyDescent="0.25">
      <c r="B27" s="171" t="s">
        <v>38</v>
      </c>
      <c r="C27" s="171" t="s">
        <v>5</v>
      </c>
      <c r="D27" s="247"/>
      <c r="E27" s="247"/>
      <c r="F27" s="247"/>
      <c r="G27" s="247"/>
      <c r="H27" s="247">
        <f t="shared" ref="H27:J27" si="9">H7</f>
        <v>43952</v>
      </c>
      <c r="I27" s="247">
        <f t="shared" si="9"/>
        <v>43983</v>
      </c>
      <c r="J27" s="247">
        <f t="shared" si="9"/>
        <v>44013</v>
      </c>
      <c r="K27" s="247">
        <f t="shared" ref="K27:O27" si="10">K7</f>
        <v>44044</v>
      </c>
      <c r="L27" s="247">
        <f t="shared" si="10"/>
        <v>44075</v>
      </c>
      <c r="M27" s="247">
        <f t="shared" si="10"/>
        <v>44105</v>
      </c>
      <c r="N27" s="247">
        <f t="shared" si="10"/>
        <v>44136</v>
      </c>
      <c r="O27" s="247">
        <f t="shared" si="10"/>
        <v>44166</v>
      </c>
      <c r="P27" s="168"/>
      <c r="Q27" s="168"/>
      <c r="R27" s="168"/>
    </row>
    <row r="28" spans="2:18" ht="15.75" x14ac:dyDescent="0.25">
      <c r="B28" s="188" t="s">
        <v>124</v>
      </c>
      <c r="C28" s="127" t="s">
        <v>131</v>
      </c>
      <c r="D28" s="127"/>
      <c r="E28" s="127"/>
      <c r="F28" s="127"/>
      <c r="G28" s="127"/>
      <c r="H28" s="127">
        <v>61</v>
      </c>
      <c r="I28" s="127">
        <v>60</v>
      </c>
      <c r="J28" s="127">
        <v>146</v>
      </c>
      <c r="K28" s="127">
        <v>146</v>
      </c>
      <c r="L28" s="127">
        <v>142</v>
      </c>
      <c r="M28" s="127">
        <v>148</v>
      </c>
      <c r="N28" s="127">
        <v>143</v>
      </c>
      <c r="O28" s="127">
        <v>148</v>
      </c>
      <c r="P28" s="168"/>
      <c r="Q28" s="168"/>
      <c r="R28" s="168"/>
    </row>
    <row r="29" spans="2:18" ht="15.75" x14ac:dyDescent="0.25">
      <c r="B29" s="188" t="s">
        <v>125</v>
      </c>
      <c r="C29" s="127" t="s">
        <v>131</v>
      </c>
      <c r="D29" s="127"/>
      <c r="E29" s="127"/>
      <c r="F29" s="127"/>
      <c r="G29" s="127"/>
      <c r="H29" s="127">
        <v>69</v>
      </c>
      <c r="I29" s="127">
        <v>147</v>
      </c>
      <c r="J29" s="127">
        <v>67</v>
      </c>
      <c r="K29" s="127">
        <v>0</v>
      </c>
      <c r="L29" s="127">
        <v>0</v>
      </c>
      <c r="M29" s="127">
        <v>0</v>
      </c>
      <c r="N29" s="127">
        <v>67</v>
      </c>
      <c r="O29" s="127">
        <v>149</v>
      </c>
      <c r="P29" s="168"/>
      <c r="Q29" s="168"/>
      <c r="R29" s="168"/>
    </row>
    <row r="30" spans="2:18" ht="15.75" x14ac:dyDescent="0.25">
      <c r="B30" s="188" t="s">
        <v>126</v>
      </c>
      <c r="C30" s="127" t="s">
        <v>131</v>
      </c>
      <c r="D30" s="127"/>
      <c r="E30" s="127"/>
      <c r="F30" s="127"/>
      <c r="G30" s="127"/>
      <c r="H30" s="127">
        <v>146</v>
      </c>
      <c r="I30" s="127">
        <v>147</v>
      </c>
      <c r="J30" s="127">
        <v>145</v>
      </c>
      <c r="K30" s="127">
        <v>145</v>
      </c>
      <c r="L30" s="127">
        <v>143</v>
      </c>
      <c r="M30" s="127">
        <v>150</v>
      </c>
      <c r="N30" s="127">
        <v>143</v>
      </c>
      <c r="O30" s="127">
        <v>106</v>
      </c>
      <c r="P30" s="168"/>
      <c r="Q30" s="168"/>
      <c r="R30" s="168"/>
    </row>
    <row r="31" spans="2:18" ht="15.75" x14ac:dyDescent="0.25">
      <c r="B31" s="188" t="s">
        <v>127</v>
      </c>
      <c r="C31" s="127" t="s">
        <v>131</v>
      </c>
      <c r="D31" s="127"/>
      <c r="E31" s="127"/>
      <c r="F31" s="127"/>
      <c r="G31" s="127"/>
      <c r="H31" s="127">
        <v>147</v>
      </c>
      <c r="I31" s="127">
        <v>148</v>
      </c>
      <c r="J31" s="127">
        <v>145</v>
      </c>
      <c r="K31" s="127">
        <v>145</v>
      </c>
      <c r="L31" s="127">
        <v>142</v>
      </c>
      <c r="M31" s="127">
        <v>108</v>
      </c>
      <c r="N31" s="127">
        <v>142</v>
      </c>
      <c r="O31" s="127">
        <v>150</v>
      </c>
      <c r="P31" s="168"/>
      <c r="Q31" s="168"/>
      <c r="R31" s="168"/>
    </row>
    <row r="32" spans="2:18" ht="15.75" x14ac:dyDescent="0.25">
      <c r="B32" s="188" t="s">
        <v>128</v>
      </c>
      <c r="C32" s="127" t="s">
        <v>131</v>
      </c>
      <c r="D32" s="127"/>
      <c r="E32" s="127"/>
      <c r="F32" s="127"/>
      <c r="G32" s="127"/>
      <c r="H32" s="127">
        <v>66</v>
      </c>
      <c r="I32" s="127">
        <v>146</v>
      </c>
      <c r="J32" s="127">
        <v>145</v>
      </c>
      <c r="K32" s="127">
        <v>145</v>
      </c>
      <c r="L32" s="127">
        <v>142</v>
      </c>
      <c r="M32" s="127">
        <v>146</v>
      </c>
      <c r="N32" s="127">
        <v>142</v>
      </c>
      <c r="O32" s="127">
        <v>105</v>
      </c>
      <c r="P32" s="168"/>
      <c r="Q32" s="168"/>
      <c r="R32" s="168"/>
    </row>
    <row r="33" spans="2:18" ht="15.75" x14ac:dyDescent="0.25">
      <c r="B33" s="170"/>
      <c r="C33" s="221"/>
      <c r="D33" s="314"/>
      <c r="E33" s="314"/>
      <c r="F33" s="314"/>
      <c r="G33" s="221"/>
      <c r="H33" s="221"/>
      <c r="I33" s="221"/>
      <c r="J33" s="221"/>
      <c r="K33" s="221"/>
      <c r="L33" s="221"/>
      <c r="M33" s="221"/>
      <c r="N33" s="221"/>
      <c r="O33" s="221"/>
      <c r="P33" s="168"/>
      <c r="Q33" s="168"/>
      <c r="R33" s="168"/>
    </row>
    <row r="34" spans="2:18" ht="15.75" x14ac:dyDescent="0.25">
      <c r="B34" s="17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168"/>
      <c r="Q34" s="168"/>
      <c r="R34" s="168"/>
    </row>
    <row r="35" spans="2:18" ht="15.75" x14ac:dyDescent="0.25">
      <c r="B35" s="170"/>
      <c r="C35" s="221"/>
      <c r="D35" s="221"/>
      <c r="E35" s="221"/>
      <c r="F35" s="221"/>
      <c r="G35" s="221"/>
      <c r="H35" s="221"/>
      <c r="I35" s="221"/>
      <c r="J35" s="221"/>
      <c r="K35" s="221" t="s">
        <v>97</v>
      </c>
      <c r="L35" s="221"/>
      <c r="M35" s="221"/>
      <c r="N35" s="221"/>
      <c r="O35" s="221"/>
      <c r="P35" s="168"/>
      <c r="Q35" s="168"/>
      <c r="R35" s="168"/>
    </row>
  </sheetData>
  <mergeCells count="1">
    <mergeCell ref="D33:F33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B1:R189"/>
  <sheetViews>
    <sheetView view="pageBreakPreview" topLeftCell="A16" zoomScale="115" zoomScaleNormal="100" zoomScaleSheetLayoutView="115" workbookViewId="0">
      <selection activeCell="H39" sqref="H39"/>
    </sheetView>
  </sheetViews>
  <sheetFormatPr defaultColWidth="9.140625" defaultRowHeight="15" outlineLevelRow="1" x14ac:dyDescent="0.25"/>
  <cols>
    <col min="1" max="1" width="2" style="160" customWidth="1"/>
    <col min="2" max="2" width="43.5703125" style="160" customWidth="1"/>
    <col min="3" max="3" width="9.140625" style="160"/>
    <col min="4" max="7" width="10.42578125" style="160" hidden="1" customWidth="1"/>
    <col min="8" max="15" width="10.42578125" style="160" customWidth="1"/>
    <col min="16" max="16" width="21.5703125" style="160" bestFit="1" customWidth="1"/>
    <col min="17" max="17" width="2.28515625" style="160" customWidth="1"/>
    <col min="18" max="18" width="12.140625" style="160" customWidth="1"/>
    <col min="19" max="16384" width="9.140625" style="160"/>
  </cols>
  <sheetData>
    <row r="1" spans="2:18" ht="15.75" x14ac:dyDescent="0.25"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27" t="s">
        <v>43</v>
      </c>
    </row>
    <row r="2" spans="2:18" ht="15.75" x14ac:dyDescent="0.25">
      <c r="B2" s="43" t="s">
        <v>1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23" t="s">
        <v>222</v>
      </c>
    </row>
    <row r="3" spans="2:18" ht="15.75" x14ac:dyDescent="0.25">
      <c r="B3" s="25" t="s">
        <v>44</v>
      </c>
      <c r="C3" s="27"/>
      <c r="D3" s="27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7"/>
    </row>
    <row r="4" spans="2:18" ht="15.75" x14ac:dyDescent="0.25">
      <c r="B4" s="25" t="s">
        <v>227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7"/>
    </row>
    <row r="5" spans="2:18" ht="15.75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7"/>
    </row>
    <row r="6" spans="2:18" ht="15.75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7"/>
    </row>
    <row r="7" spans="2:18" ht="16.5" thickBot="1" x14ac:dyDescent="0.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2"/>
    </row>
    <row r="8" spans="2:18" ht="16.5" thickBot="1" x14ac:dyDescent="0.3">
      <c r="B8" s="29" t="s">
        <v>4</v>
      </c>
      <c r="C8" s="29" t="s">
        <v>5</v>
      </c>
      <c r="D8" s="30"/>
      <c r="E8" s="30"/>
      <c r="F8" s="30"/>
      <c r="G8" s="30"/>
      <c r="H8" s="30">
        <v>43952</v>
      </c>
      <c r="I8" s="30">
        <v>43983</v>
      </c>
      <c r="J8" s="30">
        <v>44013</v>
      </c>
      <c r="K8" s="30">
        <v>44044</v>
      </c>
      <c r="L8" s="30">
        <v>44075</v>
      </c>
      <c r="M8" s="30">
        <v>44105</v>
      </c>
      <c r="N8" s="30">
        <v>44136</v>
      </c>
      <c r="O8" s="30">
        <v>44166</v>
      </c>
      <c r="P8" s="6" t="s">
        <v>150</v>
      </c>
    </row>
    <row r="9" spans="2:18" ht="15.75" x14ac:dyDescent="0.25">
      <c r="B9" s="81" t="s">
        <v>45</v>
      </c>
      <c r="C9" s="31" t="s">
        <v>7</v>
      </c>
      <c r="D9" s="161"/>
      <c r="E9" s="161"/>
      <c r="F9" s="161"/>
      <c r="G9" s="161"/>
      <c r="H9" s="161">
        <f>'прилож_ДЦ-1'!H93+'прилож_ДЦ-1'!H122+'прилож_ДЦ-1'!H149</f>
        <v>561.20000000000027</v>
      </c>
      <c r="I9" s="161">
        <f>'прилож_ДЦ-1'!I93+'прилож_ДЦ-1'!I122+'прилож_ДЦ-1'!I149</f>
        <v>514.10000000000014</v>
      </c>
      <c r="J9" s="161">
        <f>'прилож_ДЦ-1'!J93+'прилож_ДЦ-1'!J122+'прилож_ДЦ-1'!J149</f>
        <v>392.4</v>
      </c>
      <c r="K9" s="161">
        <f>'прилож_ДЦ-1'!K93+'прилож_ДЦ-1'!K122+'прилож_ДЦ-1'!K149</f>
        <v>391.8</v>
      </c>
      <c r="L9" s="161">
        <f>'прилож_ДЦ-1'!L93+'прилож_ДЦ-1'!L122+'прилож_ДЦ-1'!L149</f>
        <v>377.8</v>
      </c>
      <c r="M9" s="161">
        <f>'прилож_ДЦ-1'!M93+'прилож_ДЦ-1'!M122+'прилож_ДЦ-1'!M149</f>
        <v>390.79999999999995</v>
      </c>
      <c r="N9" s="161">
        <f>'прилож_ДЦ-1'!N93+'прилож_ДЦ-1'!N122+'прилож_ДЦ-1'!N149</f>
        <v>396.3</v>
      </c>
      <c r="O9" s="161">
        <f>'прилож_ДЦ-1'!O93+'прилож_ДЦ-1'!O122+'прилож_ДЦ-1'!O149</f>
        <v>369.60000000000014</v>
      </c>
      <c r="P9" s="200">
        <f>SUM(D9:O9)</f>
        <v>3394.0000000000009</v>
      </c>
      <c r="R9" s="201">
        <f>P9+P58</f>
        <v>8290.6000000000022</v>
      </c>
    </row>
    <row r="10" spans="2:18" ht="15.75" x14ac:dyDescent="0.25">
      <c r="B10" s="83" t="s">
        <v>46</v>
      </c>
      <c r="C10" s="35" t="s">
        <v>47</v>
      </c>
      <c r="D10" s="162"/>
      <c r="E10" s="162"/>
      <c r="F10" s="162"/>
      <c r="G10" s="162"/>
      <c r="H10" s="162">
        <f>'прилож_ДЦ-1'!H10+'прилож_ДЦ-1'!H23+'прилож_ДЦ-1'!H37+'прилож_ДЦ-1'!H55</f>
        <v>18103.225806451621</v>
      </c>
      <c r="I10" s="162">
        <f>'прилож_ДЦ-1'!I10+'прилож_ДЦ-1'!I23+'прилож_ДЦ-1'!I37+'прилож_ДЦ-1'!I55</f>
        <v>17562.592592592599</v>
      </c>
      <c r="J10" s="162">
        <f>'прилож_ДЦ-1'!J10+'прилож_ДЦ-1'!J23+'прилож_ДЦ-1'!J37+'прилож_ДЦ-1'!J55</f>
        <v>13045.16129032258</v>
      </c>
      <c r="K10" s="162">
        <f>'прилож_ДЦ-1'!K10+'прилож_ДЦ-1'!K23+'прилож_ДЦ-1'!K37+'прилож_ДЦ-1'!K55</f>
        <v>12638.709677419356</v>
      </c>
      <c r="L10" s="162">
        <f>'прилож_ДЦ-1'!L10+'прилож_ДЦ-1'!L23+'прилож_ДЦ-1'!L37+'прилож_ДЦ-1'!L55</f>
        <v>12593.333333333334</v>
      </c>
      <c r="M10" s="162">
        <f>'прилож_ДЦ-1'!M10+'прилож_ДЦ-1'!M23+'прилож_ДЦ-1'!M37+'прилож_ДЦ-1'!M55</f>
        <v>12606.451612903224</v>
      </c>
      <c r="N10" s="162">
        <f>'прилож_ДЦ-1'!N10+'прилож_ДЦ-1'!N23+'прилож_ДЦ-1'!N37+'прилож_ДЦ-1'!N55</f>
        <v>13210</v>
      </c>
      <c r="O10" s="162">
        <f>'прилож_ДЦ-1'!O10+'прилож_ДЦ-1'!O23+'прилож_ДЦ-1'!O37+'прилож_ДЦ-1'!O55</f>
        <v>15675.98566308244</v>
      </c>
      <c r="P10" s="163">
        <f>'прилож_ДЦ-1'!P23+'прилож_ДЦ-1'!P37+'прилож_ДЦ-1'!P55+'прилож_ДЦ-1'!P10</f>
        <v>14914.191542288561</v>
      </c>
    </row>
    <row r="11" spans="2:18" ht="15.75" x14ac:dyDescent="0.25">
      <c r="B11" s="34" t="s">
        <v>8</v>
      </c>
      <c r="C11" s="35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2"/>
    </row>
    <row r="12" spans="2:18" ht="15.75" x14ac:dyDescent="0.25">
      <c r="B12" s="34" t="s">
        <v>48</v>
      </c>
      <c r="C12" s="35" t="s">
        <v>10</v>
      </c>
      <c r="D12" s="133"/>
      <c r="E12" s="133"/>
      <c r="F12" s="133"/>
      <c r="G12" s="133"/>
      <c r="H12" s="133">
        <f>ROUND(('прилож_ДЦ-1'!H79*'прилож_ДЦ-1'!H77+'прилож_ДЦ-1'!H95*'прилож_ДЦ-1'!H93+'прилож_ДЦ-1'!H122*'прилож_ДЦ-1'!H124+'прилож_ДЦ-1'!H149*'прилож_ДЦ-1'!H151)/H9,3)</f>
        <v>1036.037</v>
      </c>
      <c r="I12" s="133">
        <f>ROUND(('прилож_ДЦ-1'!I79*'прилож_ДЦ-1'!I77+'прилож_ДЦ-1'!I95*'прилож_ДЦ-1'!I93+'прилож_ДЦ-1'!I122*'прилож_ДЦ-1'!I124+'прилож_ДЦ-1'!I149*'прилож_ДЦ-1'!I151)/I9,3)</f>
        <v>1006.429</v>
      </c>
      <c r="J12" s="133">
        <f>ROUND(('прилож_ДЦ-1'!J79*'прилож_ДЦ-1'!J77+'прилож_ДЦ-1'!J95*'прилож_ДЦ-1'!J93+'прилож_ДЦ-1'!J122*'прилож_ДЦ-1'!J124+'прилож_ДЦ-1'!J149*'прилож_ДЦ-1'!J151)/J9,3)</f>
        <v>1021.619</v>
      </c>
      <c r="K12" s="133">
        <f>ROUND(('прилож_ДЦ-1'!K79*'прилож_ДЦ-1'!K77+'прилож_ДЦ-1'!K95*'прилож_ДЦ-1'!K93+'прилож_ДЦ-1'!K122*'прилож_ДЦ-1'!K124+'прилож_ДЦ-1'!K149*'прилож_ДЦ-1'!K151)/K9,3)</f>
        <v>1020.803</v>
      </c>
      <c r="L12" s="133">
        <f>ROUND(('прилож_ДЦ-1'!L79*'прилож_ДЦ-1'!L77+'прилож_ДЦ-1'!L95*'прилож_ДЦ-1'!L93+'прилож_ДЦ-1'!L122*'прилож_ДЦ-1'!L124+'прилож_ДЦ-1'!L149*'прилож_ДЦ-1'!L151)/L9,3)</f>
        <v>1019.501</v>
      </c>
      <c r="M12" s="133">
        <f>ROUND(('прилож_ДЦ-1'!M79*'прилож_ДЦ-1'!M77+'прилож_ДЦ-1'!M95*'прилож_ДЦ-1'!M93+'прилож_ДЦ-1'!M122*'прилож_ДЦ-1'!M124+'прилож_ДЦ-1'!M149*'прилож_ДЦ-1'!M151)/M9,3)</f>
        <v>1016.581</v>
      </c>
      <c r="N12" s="133">
        <f>ROUND(('прилож_ДЦ-1'!N79*'прилож_ДЦ-1'!N77+'прилож_ДЦ-1'!N95*'прилож_ДЦ-1'!N93+'прилож_ДЦ-1'!N122*'прилож_ДЦ-1'!N124+'прилож_ДЦ-1'!N149*'прилож_ДЦ-1'!N151)/N9,3)</f>
        <v>1024.0909999999999</v>
      </c>
      <c r="O12" s="133">
        <f>ROUND(('прилож_ДЦ-1'!O79*'прилож_ДЦ-1'!O77+'прилож_ДЦ-1'!O95*'прилож_ДЦ-1'!O93+'прилож_ДЦ-1'!O122*'прилож_ДЦ-1'!O124+'прилож_ДЦ-1'!O149*'прилож_ДЦ-1'!O151)/O9,3)</f>
        <v>1016.827</v>
      </c>
      <c r="P12" s="132">
        <f>(D12*$D$9+E12*$E$9+F12*$F$9+G12*$G$9+H12*$H$9+I12*$I$9+J12*$J$9+K12*$K$9+L12*$L$9+M12*$M$9+N12*$N$9+O12*$O$9)/$P$9</f>
        <v>1020.5588919858571</v>
      </c>
    </row>
    <row r="13" spans="2:18" ht="15.75" x14ac:dyDescent="0.25">
      <c r="B13" s="34" t="s">
        <v>49</v>
      </c>
      <c r="C13" s="35" t="s">
        <v>10</v>
      </c>
      <c r="D13" s="133"/>
      <c r="E13" s="133"/>
      <c r="F13" s="133"/>
      <c r="G13" s="133"/>
      <c r="H13" s="133">
        <f>ROUND(('прилож_ДЦ-1'!H96*'прилож_ДЦ-1'!H93+'прилож_ДЦ-1'!H149*'прилож_ДЦ-1'!H152)/H9,3)</f>
        <v>0</v>
      </c>
      <c r="I13" s="133">
        <f>ROUND(('прилож_ДЦ-1'!I96*'прилож_ДЦ-1'!I93+'прилож_ДЦ-1'!I149*'прилож_ДЦ-1'!I152)/I9,3)</f>
        <v>0</v>
      </c>
      <c r="J13" s="133">
        <f>ROUND(('прилож_ДЦ-1'!J96*'прилож_ДЦ-1'!J93+'прилож_ДЦ-1'!J149*'прилож_ДЦ-1'!J152)/J9,3)</f>
        <v>0</v>
      </c>
      <c r="K13" s="133">
        <f>ROUND(('прилож_ДЦ-1'!K96*'прилож_ДЦ-1'!K93+'прилож_ДЦ-1'!K149*'прилож_ДЦ-1'!K152)/K9,3)</f>
        <v>0</v>
      </c>
      <c r="L13" s="133">
        <f>ROUND(('прилож_ДЦ-1'!L96*'прилож_ДЦ-1'!L93+'прилож_ДЦ-1'!L149*'прилож_ДЦ-1'!L152)/L9,3)</f>
        <v>0</v>
      </c>
      <c r="M13" s="133">
        <f>ROUND(('прилож_ДЦ-1'!M96*'прилож_ДЦ-1'!M93+'прилож_ДЦ-1'!M149*'прилож_ДЦ-1'!M152)/M9,3)</f>
        <v>0</v>
      </c>
      <c r="N13" s="133">
        <f>ROUND(('прилож_ДЦ-1'!N96*'прилож_ДЦ-1'!N93+'прилож_ДЦ-1'!N149*'прилож_ДЦ-1'!N152)/N9,3)</f>
        <v>0</v>
      </c>
      <c r="O13" s="133">
        <f>ROUND(('прилож_ДЦ-1'!O96*'прилож_ДЦ-1'!O93+'прилож_ДЦ-1'!O149*'прилож_ДЦ-1'!O152)/O9,3)</f>
        <v>0</v>
      </c>
      <c r="P13" s="132">
        <f t="shared" ref="P13:P24" si="0">(D13*$D$9+E13*$E$9+F13*$F$9+G13*$G$9+H13*$H$9+I13*$I$9+J13*$J$9+K13*$K$9+L13*$L$9+M13*$M$9+N13*$N$9+O13*$O$9)/$P$9</f>
        <v>0</v>
      </c>
    </row>
    <row r="14" spans="2:18" ht="15.75" x14ac:dyDescent="0.25">
      <c r="B14" s="34" t="s">
        <v>50</v>
      </c>
      <c r="C14" s="35" t="s">
        <v>10</v>
      </c>
      <c r="D14" s="133"/>
      <c r="E14" s="133"/>
      <c r="F14" s="133"/>
      <c r="G14" s="133"/>
      <c r="H14" s="133">
        <f>ROUND(('прилож_ДЦ-1'!H97*'прилож_ДЦ-1'!H93)/H9,1)</f>
        <v>0</v>
      </c>
      <c r="I14" s="133">
        <f>ROUND(('прилож_ДЦ-1'!I97*'прилож_ДЦ-1'!I93)/I9,1)</f>
        <v>0</v>
      </c>
      <c r="J14" s="133">
        <f>ROUND(('прилож_ДЦ-1'!J97*'прилож_ДЦ-1'!J93)/J9,1)</f>
        <v>0</v>
      </c>
      <c r="K14" s="133">
        <f>ROUND(('прилож_ДЦ-1'!K97*'прилож_ДЦ-1'!K93)/K9,1)</f>
        <v>0</v>
      </c>
      <c r="L14" s="133">
        <f>ROUND(('прилож_ДЦ-1'!L97*'прилож_ДЦ-1'!L93)/L9,1)</f>
        <v>0</v>
      </c>
      <c r="M14" s="133">
        <f>ROUND(('прилож_ДЦ-1'!M97*'прилож_ДЦ-1'!M93)/M9,1)</f>
        <v>0</v>
      </c>
      <c r="N14" s="133">
        <f>ROUND(('прилож_ДЦ-1'!N97*'прилож_ДЦ-1'!N93)/N9,1)</f>
        <v>0</v>
      </c>
      <c r="O14" s="133">
        <f>ROUND(('прилож_ДЦ-1'!O97*'прилож_ДЦ-1'!O93)/O9,1)</f>
        <v>0</v>
      </c>
      <c r="P14" s="132">
        <f t="shared" si="0"/>
        <v>0</v>
      </c>
    </row>
    <row r="15" spans="2:18" ht="15.75" x14ac:dyDescent="0.25">
      <c r="B15" s="34" t="s">
        <v>51</v>
      </c>
      <c r="C15" s="35" t="s">
        <v>10</v>
      </c>
      <c r="D15" s="133"/>
      <c r="E15" s="133"/>
      <c r="F15" s="133"/>
      <c r="G15" s="133"/>
      <c r="H15" s="133">
        <f>ROUND(('прилож_ДЦ-1'!H80*'прилож_ДЦ-1'!H77+'прилож_ДЦ-1'!H98*'прилож_ДЦ-1'!H93+'прилож_ДЦ-1'!H125*'прилож_ДЦ-1'!H122+'прилож_ДЦ-1'!H149*'прилож_ДЦ-1'!H153)/H9,3)</f>
        <v>8</v>
      </c>
      <c r="I15" s="133">
        <f>ROUND(('прилож_ДЦ-1'!I80*'прилож_ДЦ-1'!I77+'прилож_ДЦ-1'!I98*'прилож_ДЦ-1'!I93+'прилож_ДЦ-1'!I125*'прилож_ДЦ-1'!I122+'прилож_ДЦ-1'!I149*'прилож_ДЦ-1'!I153)/I9,3)</f>
        <v>9.5510000000000002</v>
      </c>
      <c r="J15" s="133">
        <f>ROUND(('прилож_ДЦ-1'!J80*'прилож_ДЦ-1'!J77+'прилож_ДЦ-1'!J98*'прилож_ДЦ-1'!J93+'прилож_ДЦ-1'!J125*'прилож_ДЦ-1'!J122+'прилож_ДЦ-1'!J149*'прилож_ДЦ-1'!J153)/J9,3)</f>
        <v>8</v>
      </c>
      <c r="K15" s="133">
        <f>ROUND(('прилож_ДЦ-1'!K80*'прилож_ДЦ-1'!K77+'прилож_ДЦ-1'!K98*'прилож_ДЦ-1'!K93+'прилож_ДЦ-1'!K125*'прилож_ДЦ-1'!K122+'прилож_ДЦ-1'!K149*'прилож_ДЦ-1'!K153)/K9,3)</f>
        <v>8</v>
      </c>
      <c r="L15" s="133">
        <f>ROUND(('прилож_ДЦ-1'!L80*'прилож_ДЦ-1'!L77+'прилож_ДЦ-1'!L98*'прилож_ДЦ-1'!L93+'прилож_ДЦ-1'!L125*'прилож_ДЦ-1'!L122+'прилож_ДЦ-1'!L149*'прилож_ДЦ-1'!L153)/L9,3)</f>
        <v>8</v>
      </c>
      <c r="M15" s="133">
        <f>ROUND(('прилож_ДЦ-1'!M80*'прилож_ДЦ-1'!M77+'прилож_ДЦ-1'!M98*'прилож_ДЦ-1'!M93+'прилож_ДЦ-1'!M125*'прилож_ДЦ-1'!M122+'прилож_ДЦ-1'!M149*'прилож_ДЦ-1'!M153)/M9,3)</f>
        <v>8</v>
      </c>
      <c r="N15" s="133">
        <f>ROUND(('прилож_ДЦ-1'!N80*'прилож_ДЦ-1'!N77+'прилож_ДЦ-1'!N98*'прилож_ДЦ-1'!N93+'прилож_ДЦ-1'!N125*'прилож_ДЦ-1'!N122+'прилож_ДЦ-1'!N149*'прилож_ДЦ-1'!N153)/N9,3)</f>
        <v>8</v>
      </c>
      <c r="O15" s="133">
        <f>ROUND(('прилож_ДЦ-1'!O80*'прилож_ДЦ-1'!O77+'прилож_ДЦ-1'!O98*'прилож_ДЦ-1'!O93+'прилож_ДЦ-1'!O125*'прилож_ДЦ-1'!O122+'прилож_ДЦ-1'!O149*'прилож_ДЦ-1'!O153)/O9,3)</f>
        <v>8</v>
      </c>
      <c r="P15" s="132">
        <f t="shared" si="0"/>
        <v>8.2349349145550956</v>
      </c>
    </row>
    <row r="16" spans="2:18" ht="15.75" x14ac:dyDescent="0.25">
      <c r="B16" s="34" t="s">
        <v>109</v>
      </c>
      <c r="C16" s="35" t="s">
        <v>10</v>
      </c>
      <c r="D16" s="133"/>
      <c r="E16" s="133"/>
      <c r="F16" s="133"/>
      <c r="G16" s="133"/>
      <c r="H16" s="133">
        <f>ROUND(('прилож_ДЦ-1'!H81*'прилож_ДЦ-1'!H77+'прилож_ДЦ-1'!H99*'прилож_ДЦ-1'!H93+'прилож_ДЦ-1'!H126*'прилож_ДЦ-1'!H122+'прилож_ДЦ-1'!H149*'прилож_ДЦ-1'!H154)/H9,3)</f>
        <v>0</v>
      </c>
      <c r="I16" s="133">
        <f>ROUND(('прилож_ДЦ-1'!I81*'прилож_ДЦ-1'!I77+'прилож_ДЦ-1'!I99*'прилож_ДЦ-1'!I93+'прилож_ДЦ-1'!I126*'прилож_ДЦ-1'!I122+'прилож_ДЦ-1'!I149*'прилож_ДЦ-1'!I154)/I9,3)</f>
        <v>0</v>
      </c>
      <c r="J16" s="133">
        <f>ROUND(('прилож_ДЦ-1'!J81*'прилож_ДЦ-1'!J77+'прилож_ДЦ-1'!J99*'прилож_ДЦ-1'!J93+'прилож_ДЦ-1'!J126*'прилож_ДЦ-1'!J122+'прилож_ДЦ-1'!J149*'прилож_ДЦ-1'!J154)/J9,3)</f>
        <v>0</v>
      </c>
      <c r="K16" s="133">
        <f>ROUND(('прилож_ДЦ-1'!K81*'прилож_ДЦ-1'!K77+'прилож_ДЦ-1'!K99*'прилож_ДЦ-1'!K93+'прилож_ДЦ-1'!K126*'прилож_ДЦ-1'!K122+'прилож_ДЦ-1'!K149*'прилож_ДЦ-1'!K154)/K9,3)</f>
        <v>0</v>
      </c>
      <c r="L16" s="133">
        <f>ROUND(('прилож_ДЦ-1'!L81*'прилож_ДЦ-1'!L77+'прилож_ДЦ-1'!L99*'прилож_ДЦ-1'!L93+'прилож_ДЦ-1'!L126*'прилож_ДЦ-1'!L122+'прилож_ДЦ-1'!L149*'прилож_ДЦ-1'!L154)/L9,3)</f>
        <v>0</v>
      </c>
      <c r="M16" s="133">
        <f>ROUND(('прилож_ДЦ-1'!M81*'прилож_ДЦ-1'!M77+'прилож_ДЦ-1'!M99*'прилож_ДЦ-1'!M93+'прилож_ДЦ-1'!M126*'прилож_ДЦ-1'!M122+'прилож_ДЦ-1'!M149*'прилож_ДЦ-1'!M154)/M9,3)</f>
        <v>0</v>
      </c>
      <c r="N16" s="133">
        <f>ROUND(('прилож_ДЦ-1'!N81*'прилож_ДЦ-1'!N77+'прилож_ДЦ-1'!N99*'прилож_ДЦ-1'!N93+'прилож_ДЦ-1'!N126*'прилож_ДЦ-1'!N122+'прилож_ДЦ-1'!N149*'прилож_ДЦ-1'!N154)/N9,3)</f>
        <v>0</v>
      </c>
      <c r="O16" s="133">
        <f>ROUND(('прилож_ДЦ-1'!O81*'прилож_ДЦ-1'!O77+'прилож_ДЦ-1'!O99*'прилож_ДЦ-1'!O93+'прилож_ДЦ-1'!O126*'прилож_ДЦ-1'!O122+'прилож_ДЦ-1'!O149*'прилож_ДЦ-1'!O154)/O9,3)</f>
        <v>0</v>
      </c>
      <c r="P16" s="198">
        <f>(D16*$D$9+E16*$E$9+F16*$F$9+G16*$G$9+H16*$H$9+I16*$I$9+J16*$J$9+K16*$K$9+L16*$L$9+M16*$M$9+N16*$N$9+O16*$O$9)/$P$9</f>
        <v>0</v>
      </c>
    </row>
    <row r="17" spans="2:16" ht="15.75" x14ac:dyDescent="0.25">
      <c r="B17" s="34" t="s">
        <v>52</v>
      </c>
      <c r="C17" s="35" t="s">
        <v>10</v>
      </c>
      <c r="D17" s="133"/>
      <c r="E17" s="133"/>
      <c r="F17" s="133"/>
      <c r="G17" s="133"/>
      <c r="H17" s="133">
        <f>ROUND(('прилож_ДЦ-1'!H77*'прилож_ДЦ-1'!H81+'прилож_ДЦ-1'!H93*'прилож_ДЦ-1'!H100+'прилож_ДЦ-1'!H122*'прилож_ДЦ-1'!H127+'прилож_ДЦ-1'!H149*'прилож_ДЦ-1'!H155)/H9,3)</f>
        <v>0</v>
      </c>
      <c r="I17" s="133">
        <f>ROUND(('прилож_ДЦ-1'!I77*'прилож_ДЦ-1'!I81+'прилож_ДЦ-1'!I93*'прилож_ДЦ-1'!I100+'прилож_ДЦ-1'!I122*'прилож_ДЦ-1'!I127+'прилож_ДЦ-1'!I149*'прилож_ДЦ-1'!I155)/I9,3)</f>
        <v>0</v>
      </c>
      <c r="J17" s="133">
        <f>ROUND(('прилож_ДЦ-1'!J77*'прилож_ДЦ-1'!J81+'прилож_ДЦ-1'!J93*'прилож_ДЦ-1'!J100+'прилож_ДЦ-1'!J122*'прилож_ДЦ-1'!J127+'прилож_ДЦ-1'!J149*'прилож_ДЦ-1'!J155)/J9,3)</f>
        <v>0</v>
      </c>
      <c r="K17" s="133">
        <f>ROUND(('прилож_ДЦ-1'!K77*'прилож_ДЦ-1'!K81+'прилож_ДЦ-1'!K93*'прилож_ДЦ-1'!K100+'прилож_ДЦ-1'!K122*'прилож_ДЦ-1'!K127+'прилож_ДЦ-1'!K149*'прилож_ДЦ-1'!K155)/K9,3)</f>
        <v>0</v>
      </c>
      <c r="L17" s="133">
        <f>ROUND(('прилож_ДЦ-1'!L77*'прилож_ДЦ-1'!L81+'прилож_ДЦ-1'!L93*'прилож_ДЦ-1'!L100+'прилож_ДЦ-1'!L122*'прилож_ДЦ-1'!L127+'прилож_ДЦ-1'!L149*'прилож_ДЦ-1'!L155)/L9,3)</f>
        <v>0</v>
      </c>
      <c r="M17" s="133">
        <f>ROUND(('прилож_ДЦ-1'!M77*'прилож_ДЦ-1'!M81+'прилож_ДЦ-1'!M93*'прилож_ДЦ-1'!M100+'прилож_ДЦ-1'!M122*'прилож_ДЦ-1'!M127+'прилож_ДЦ-1'!M149*'прилож_ДЦ-1'!M155)/M9,3)</f>
        <v>0</v>
      </c>
      <c r="N17" s="133">
        <f>ROUND(('прилож_ДЦ-1'!N77*'прилож_ДЦ-1'!N81+'прилож_ДЦ-1'!N93*'прилож_ДЦ-1'!N100+'прилож_ДЦ-1'!N122*'прилож_ДЦ-1'!N127+'прилож_ДЦ-1'!N149*'прилож_ДЦ-1'!N155)/N9,3)</f>
        <v>0</v>
      </c>
      <c r="O17" s="133">
        <f>ROUND(('прилож_ДЦ-1'!O77*'прилож_ДЦ-1'!O81+'прилож_ДЦ-1'!O93*'прилож_ДЦ-1'!O100+'прилож_ДЦ-1'!O122*'прилож_ДЦ-1'!O127+'прилож_ДЦ-1'!O149*'прилож_ДЦ-1'!O155)/O9,3)</f>
        <v>0</v>
      </c>
      <c r="P17" s="132">
        <f t="shared" si="0"/>
        <v>0</v>
      </c>
    </row>
    <row r="18" spans="2:16" ht="15.75" x14ac:dyDescent="0.25">
      <c r="B18" s="34" t="s">
        <v>53</v>
      </c>
      <c r="C18" s="35" t="s">
        <v>10</v>
      </c>
      <c r="D18" s="133"/>
      <c r="E18" s="133"/>
      <c r="F18" s="133"/>
      <c r="G18" s="133"/>
      <c r="H18" s="133">
        <f>ROUND(('прилож_ДЦ-1'!H77*'прилож_ДЦ-1'!H82+'прилож_ДЦ-1'!H93*'прилож_ДЦ-1'!H101+'прилож_ДЦ-1'!H122*'прилож_ДЦ-1'!H128+'прилож_ДЦ-1'!H149*'прилож_ДЦ-1'!H156)/H9,3)</f>
        <v>0</v>
      </c>
      <c r="I18" s="133">
        <f>ROUND(('прилож_ДЦ-1'!I77*'прилож_ДЦ-1'!I82+'прилож_ДЦ-1'!I93*'прилож_ДЦ-1'!I101+'прилож_ДЦ-1'!I122*'прилож_ДЦ-1'!I128+'прилож_ДЦ-1'!I149*'прилож_ДЦ-1'!I156)/I9,3)</f>
        <v>0</v>
      </c>
      <c r="J18" s="133">
        <f>ROUND(('прилож_ДЦ-1'!J77*'прилож_ДЦ-1'!J82+'прилож_ДЦ-1'!J93*'прилож_ДЦ-1'!J101+'прилож_ДЦ-1'!J122*'прилож_ДЦ-1'!J128+'прилож_ДЦ-1'!J149*'прилож_ДЦ-1'!J156)/J9,3)</f>
        <v>0</v>
      </c>
      <c r="K18" s="133">
        <f>ROUND(('прилож_ДЦ-1'!K77*'прилож_ДЦ-1'!K82+'прилож_ДЦ-1'!K93*'прилож_ДЦ-1'!K101+'прилож_ДЦ-1'!K122*'прилож_ДЦ-1'!K128+'прилож_ДЦ-1'!K149*'прилож_ДЦ-1'!K156)/K9,3)</f>
        <v>0</v>
      </c>
      <c r="L18" s="133">
        <f>ROUND(('прилож_ДЦ-1'!L77*'прилож_ДЦ-1'!L82+'прилож_ДЦ-1'!L93*'прилож_ДЦ-1'!L101+'прилож_ДЦ-1'!L122*'прилож_ДЦ-1'!L128+'прилож_ДЦ-1'!L149*'прилож_ДЦ-1'!L156)/L9,3)</f>
        <v>0</v>
      </c>
      <c r="M18" s="133">
        <f>ROUND(('прилож_ДЦ-1'!M77*'прилож_ДЦ-1'!M82+'прилож_ДЦ-1'!M93*'прилож_ДЦ-1'!M101+'прилож_ДЦ-1'!M122*'прилож_ДЦ-1'!M128+'прилож_ДЦ-1'!M149*'прилож_ДЦ-1'!M156)/M9,3)</f>
        <v>0</v>
      </c>
      <c r="N18" s="133">
        <f>ROUND(('прилож_ДЦ-1'!N77*'прилож_ДЦ-1'!N82+'прилож_ДЦ-1'!N93*'прилож_ДЦ-1'!N101+'прилож_ДЦ-1'!N122*'прилож_ДЦ-1'!N128+'прилож_ДЦ-1'!N149*'прилож_ДЦ-1'!N156)/N9,3)</f>
        <v>0</v>
      </c>
      <c r="O18" s="133">
        <f>ROUND(('прилож_ДЦ-1'!O77*'прилож_ДЦ-1'!O82+'прилож_ДЦ-1'!O93*'прилож_ДЦ-1'!O101+'прилож_ДЦ-1'!O122*'прилож_ДЦ-1'!O128+'прилож_ДЦ-1'!O149*'прилож_ДЦ-1'!O156)/O9,3)</f>
        <v>0</v>
      </c>
      <c r="P18" s="132">
        <f>(D18*$D$9+E18*$E$9+F18*$F$9+G18*$G$9+H18*$H$9+I18*$I$9+J18*$J$9+K18*$K$9+L18*$L$9+M18*$M$9+N18*$N$9+O18*$O$9)/$P$9</f>
        <v>0</v>
      </c>
    </row>
    <row r="19" spans="2:16" ht="15.75" x14ac:dyDescent="0.25">
      <c r="B19" s="34" t="s">
        <v>54</v>
      </c>
      <c r="C19" s="35" t="s">
        <v>10</v>
      </c>
      <c r="D19" s="133"/>
      <c r="E19" s="133"/>
      <c r="F19" s="133"/>
      <c r="G19" s="133"/>
      <c r="H19" s="133">
        <f>ROUND(('прилож_ДЦ-1'!H$93*'прилож_ДЦ-1'!H102+'прилож_ДЦ-1'!H129*'прилож_ДЦ-1'!H$122+'прилож_ДЦ-1'!H157*'прилож_ДЦ-1'!H$149)/H9,3)</f>
        <v>13.401</v>
      </c>
      <c r="I19" s="133">
        <f>ROUND(('прилож_ДЦ-1'!I$93*'прилож_ДЦ-1'!I102+'прилож_ДЦ-1'!I129*'прилож_ДЦ-1'!I$122+'прилож_ДЦ-1'!I157*'прилож_ДЦ-1'!I$149)/I9,3)</f>
        <v>14.74</v>
      </c>
      <c r="J19" s="133">
        <f>ROUND(('прилож_ДЦ-1'!J$93*'прилож_ДЦ-1'!J102+'прилож_ДЦ-1'!J129*'прилож_ДЦ-1'!J$122+'прилож_ДЦ-1'!J157*'прилож_ДЦ-1'!J$149)/J9,3)</f>
        <v>19.190000000000001</v>
      </c>
      <c r="K19" s="133">
        <f>ROUND(('прилож_ДЦ-1'!K$93*'прилож_ДЦ-1'!K102+'прилож_ДЦ-1'!K129*'прилож_ДЦ-1'!K$122+'прилож_ДЦ-1'!K157*'прилож_ДЦ-1'!K$149)/K9,3)</f>
        <v>19.193000000000001</v>
      </c>
      <c r="L19" s="133">
        <f>ROUND(('прилож_ДЦ-1'!L$93*'прилож_ДЦ-1'!L102+'прилож_ДЦ-1'!L129*'прилож_ДЦ-1'!L$122+'прилож_ДЦ-1'!L157*'прилож_ДЦ-1'!L$149)/L9,3)</f>
        <v>20.013000000000002</v>
      </c>
      <c r="M19" s="133">
        <f>ROUND(('прилож_ДЦ-1'!M$93*'прилож_ДЦ-1'!M102+'прилож_ДЦ-1'!M129*'прилож_ДЦ-1'!M$122+'прилож_ДЦ-1'!M157*'прилож_ДЦ-1'!M$149)/M9,3)</f>
        <v>19.268000000000001</v>
      </c>
      <c r="N19" s="133">
        <f>ROUND(('прилож_ДЦ-1'!N$93*'прилож_ДЦ-1'!N102+'прилож_ДЦ-1'!N129*'прилож_ДЦ-1'!N$122+'прилож_ДЦ-1'!N157*'прилож_ДЦ-1'!N$149)/N9,3)</f>
        <v>18.763000000000002</v>
      </c>
      <c r="O19" s="133">
        <f>ROUND(('прилож_ДЦ-1'!O$93*'прилож_ДЦ-1'!O102+'прилож_ДЦ-1'!O129*'прилож_ДЦ-1'!O$122+'прилож_ДЦ-1'!O157*'прилож_ДЦ-1'!O$149)/O9,3)</f>
        <v>20.387</v>
      </c>
      <c r="P19" s="132">
        <f>(D19*$D$9+E19*$E$9+F19*$F$9+G19*$G$9+H19*$H$9+I19*$I$9+J19*$J$9+K19*$K$9+L19*$L$9+M19*$M$9+N19*$N$9+O19*$O$9)/$P$9</f>
        <v>17.740161019446081</v>
      </c>
    </row>
    <row r="20" spans="2:16" ht="15.75" x14ac:dyDescent="0.25">
      <c r="B20" s="34" t="s">
        <v>55</v>
      </c>
      <c r="C20" s="35" t="s">
        <v>10</v>
      </c>
      <c r="D20" s="133"/>
      <c r="E20" s="133"/>
      <c r="F20" s="133"/>
      <c r="G20" s="133"/>
      <c r="H20" s="133">
        <f>ROUND(('прилож_ДЦ-1'!H$93*'прилож_ДЦ-1'!H103+'прилож_ДЦ-1'!H130*'прилож_ДЦ-1'!H$122+'прилож_ДЦ-1'!H158*'прилож_ДЦ-1'!H$149)/H9,3)</f>
        <v>553.90499999999997</v>
      </c>
      <c r="I20" s="133">
        <f>ROUND(('прилож_ДЦ-1'!I$93*'прилож_ДЦ-1'!I103+'прилож_ДЦ-1'!I130*'прилож_ДЦ-1'!I$122+'прилож_ДЦ-1'!I158*'прилож_ДЦ-1'!I$149)/I9,3)</f>
        <v>554.15499999999997</v>
      </c>
      <c r="J20" s="133">
        <f>ROUND(('прилож_ДЦ-1'!J$93*'прилож_ДЦ-1'!J103+'прилож_ДЦ-1'!J130*'прилож_ДЦ-1'!J$122+'прилож_ДЦ-1'!J158*'прилож_ДЦ-1'!J$149)/J9,3)</f>
        <v>484.84500000000003</v>
      </c>
      <c r="K20" s="133">
        <f>ROUND(('прилож_ДЦ-1'!K$93*'прилож_ДЦ-1'!K103+'прилож_ДЦ-1'!K130*'прилож_ДЦ-1'!K$122+'прилож_ДЦ-1'!K158*'прилож_ДЦ-1'!K$149)/K9,3)</f>
        <v>488.839</v>
      </c>
      <c r="L20" s="133">
        <f>ROUND(('прилож_ДЦ-1'!L$93*'прилож_ДЦ-1'!L103+'прилож_ДЦ-1'!L130*'прилож_ДЦ-1'!L$122+'прилож_ДЦ-1'!L158*'прилож_ДЦ-1'!L$149)/L9,3)</f>
        <v>484.233</v>
      </c>
      <c r="M20" s="133">
        <f>ROUND(('прилож_ДЦ-1'!M$93*'прилож_ДЦ-1'!M103+'прилож_ДЦ-1'!M130*'прилож_ДЦ-1'!M$122+'прилож_ДЦ-1'!M158*'прилож_ДЦ-1'!M$149)/M9,3)</f>
        <v>480.62400000000002</v>
      </c>
      <c r="N20" s="133">
        <f>ROUND(('прилож_ДЦ-1'!N$93*'прилож_ДЦ-1'!N103+'прилож_ДЦ-1'!N130*'прилож_ДЦ-1'!N$122+'прилож_ДЦ-1'!N158*'прилож_ДЦ-1'!N$149)/N9,3)</f>
        <v>484.87200000000001</v>
      </c>
      <c r="O20" s="133">
        <f>ROUND(('прилож_ДЦ-1'!O$93*'прилож_ДЦ-1'!O103+'прилож_ДЦ-1'!O130*'прилож_ДЦ-1'!O$122+'прилож_ДЦ-1'!O158*'прилож_ДЦ-1'!O$149)/O9,3)</f>
        <v>477.048</v>
      </c>
      <c r="P20" s="132">
        <f>(D20*$D$9+E20*$E$9+F20*$F$9+G20*$G$9+H20*$H$9+I20*$I$9+J20*$J$9+K20*$K$9+L20*$L$9+M20*$M$9+N20*$N$9+O20*$O$9)/$P$9</f>
        <v>505.8237096935768</v>
      </c>
    </row>
    <row r="21" spans="2:16" ht="15.75" x14ac:dyDescent="0.25">
      <c r="B21" s="34" t="s">
        <v>56</v>
      </c>
      <c r="C21" s="35" t="s">
        <v>10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2">
        <f t="shared" si="0"/>
        <v>0</v>
      </c>
    </row>
    <row r="22" spans="2:16" ht="15.75" x14ac:dyDescent="0.25">
      <c r="B22" s="34" t="s">
        <v>141</v>
      </c>
      <c r="C22" s="35" t="s">
        <v>10</v>
      </c>
      <c r="D22" s="133"/>
      <c r="E22" s="133"/>
      <c r="F22" s="133"/>
      <c r="G22" s="133"/>
      <c r="H22" s="133">
        <f>ROUND((+'прилож_ДЦ-1'!H104*'прилож_ДЦ-1'!H93+'прилож_ДЦ-1'!H122*'прилож_ДЦ-1'!H132)/'ДЦ-1,2'!H9,3)</f>
        <v>15.791</v>
      </c>
      <c r="I22" s="133">
        <f>ROUND((+'прилож_ДЦ-1'!I104*'прилож_ДЦ-1'!I93+'прилож_ДЦ-1'!I122*'прилож_ДЦ-1'!I132)/'ДЦ-1,2'!I9,3)</f>
        <v>17.448</v>
      </c>
      <c r="J22" s="133">
        <f>ROUND((+'прилож_ДЦ-1'!J104*'прилож_ДЦ-1'!J93+'прилож_ДЦ-1'!J122*'прилож_ДЦ-1'!J132)/'ДЦ-1,2'!J9,3)</f>
        <v>22.643999999999998</v>
      </c>
      <c r="K22" s="133">
        <f>ROUND((+'прилож_ДЦ-1'!K104*'прилож_ДЦ-1'!K93+'прилож_ДЦ-1'!K122*'прилож_ДЦ-1'!K132)/'ДЦ-1,2'!K9,3)</f>
        <v>22.648</v>
      </c>
      <c r="L22" s="133">
        <f>ROUND((+'прилож_ДЦ-1'!L104*'прилож_ДЦ-1'!L93+'прилож_ДЦ-1'!L122*'прилож_ДЦ-1'!L132)/'ДЦ-1,2'!L9,3)</f>
        <v>23.475999999999999</v>
      </c>
      <c r="M22" s="133">
        <f>ROUND((+'прилож_ДЦ-1'!M104*'прилож_ДЦ-1'!M93+'прилож_ДЦ-1'!M122*'прилож_ДЦ-1'!M132)/'ДЦ-1,2'!M9,3)</f>
        <v>22.736000000000001</v>
      </c>
      <c r="N22" s="133">
        <f>ROUND((+'прилож_ДЦ-1'!N104*'прилож_ДЦ-1'!N93+'прилож_ДЦ-1'!N122*'прилож_ДЦ-1'!N132)/'ДЦ-1,2'!N9,3)</f>
        <v>22.442</v>
      </c>
      <c r="O22" s="133">
        <f>ROUND((+'прилож_ДЦ-1'!O104*'прилож_ДЦ-1'!O93+'прилож_ДЦ-1'!O122*'прилож_ДЦ-1'!O132)/'ДЦ-1,2'!O9,3)</f>
        <v>24.056999999999999</v>
      </c>
      <c r="P22" s="132">
        <f t="shared" si="0"/>
        <v>20.957752327637003</v>
      </c>
    </row>
    <row r="23" spans="2:16" ht="16.5" customHeight="1" x14ac:dyDescent="0.25">
      <c r="B23" s="195" t="s">
        <v>142</v>
      </c>
      <c r="C23" s="35" t="s">
        <v>10</v>
      </c>
      <c r="D23" s="133"/>
      <c r="E23" s="133"/>
      <c r="F23" s="133"/>
      <c r="G23" s="133"/>
      <c r="H23" s="133">
        <f>ROUND(('прилож_ДЦ-1'!H93*'прилож_ДЦ-1'!H105+'прилож_ДЦ-1'!H122*'прилож_ДЦ-1'!H133)/'ДЦ-1,2'!H9,3)</f>
        <v>0</v>
      </c>
      <c r="I23" s="133">
        <f>ROUND(('прилож_ДЦ-1'!I93*'прилож_ДЦ-1'!I105+'прилож_ДЦ-1'!I122*'прилож_ДЦ-1'!I133)/'ДЦ-1,2'!I9,3)</f>
        <v>0</v>
      </c>
      <c r="J23" s="133">
        <f>ROUND(('прилож_ДЦ-1'!J93*'прилож_ДЦ-1'!J105+'прилож_ДЦ-1'!J122*'прилож_ДЦ-1'!J133)/'ДЦ-1,2'!J9,3)</f>
        <v>0</v>
      </c>
      <c r="K23" s="133">
        <f>ROUND(('прилож_ДЦ-1'!K93*'прилож_ДЦ-1'!K105+'прилож_ДЦ-1'!K122*'прилож_ДЦ-1'!K133)/'ДЦ-1,2'!K9,3)</f>
        <v>0</v>
      </c>
      <c r="L23" s="133">
        <f>ROUND(('прилож_ДЦ-1'!L93*'прилож_ДЦ-1'!L105+'прилож_ДЦ-1'!L122*'прилож_ДЦ-1'!L133)/'ДЦ-1,2'!L9,3)</f>
        <v>0</v>
      </c>
      <c r="M23" s="133">
        <f>ROUND(('прилож_ДЦ-1'!M93*'прилож_ДЦ-1'!M105+'прилож_ДЦ-1'!M122*'прилож_ДЦ-1'!M133)/'ДЦ-1,2'!M9,3)</f>
        <v>0</v>
      </c>
      <c r="N23" s="133">
        <f>ROUND(('прилож_ДЦ-1'!N93*'прилож_ДЦ-1'!N105+'прилож_ДЦ-1'!N122*'прилож_ДЦ-1'!N133)/'ДЦ-1,2'!N9,3)</f>
        <v>0</v>
      </c>
      <c r="O23" s="133">
        <f>ROUND(('прилож_ДЦ-1'!O93*'прилож_ДЦ-1'!O105+'прилож_ДЦ-1'!O122*'прилож_ДЦ-1'!O133)/'ДЦ-1,2'!O9,3)</f>
        <v>0</v>
      </c>
      <c r="P23" s="132">
        <f>(D23*$D$9+E23*$E$9+F23*$F$9+G23*$G$9+H23*$H$9+I23*$I$9+J23*$J$9+K23*$K$9+L23*$L$9+M23*$M$9+N23*$N$9+O23*$O$9)/$P$9</f>
        <v>0</v>
      </c>
    </row>
    <row r="24" spans="2:16" ht="15.75" x14ac:dyDescent="0.25">
      <c r="B24" s="34" t="s">
        <v>57</v>
      </c>
      <c r="C24" s="35" t="s">
        <v>10</v>
      </c>
      <c r="D24" s="133"/>
      <c r="E24" s="133"/>
      <c r="F24" s="133"/>
      <c r="G24" s="133"/>
      <c r="H24" s="133">
        <f>ROUND(('прилож_ДЦ-1'!H106*'прилож_ДЦ-1'!H93+'прилож_ДЦ-1'!H122*'прилож_ДЦ-1'!H134+'прилож_ДЦ-1'!H149*'прилож_ДЦ-1'!H159)/'ДЦ-1,2'!H9,3)</f>
        <v>24.234000000000002</v>
      </c>
      <c r="I24" s="133">
        <f>ROUND(('прилож_ДЦ-1'!I106*'прилож_ДЦ-1'!I93+'прилож_ДЦ-1'!I122*'прилож_ДЦ-1'!I134+'прилож_ДЦ-1'!I149*'прилож_ДЦ-1'!I159)/'ДЦ-1,2'!I9,3)</f>
        <v>44.371000000000002</v>
      </c>
      <c r="J24" s="133">
        <f>ROUND(('прилож_ДЦ-1'!J106*'прилож_ДЦ-1'!J93+'прилож_ДЦ-1'!J122*'прилож_ДЦ-1'!J134+'прилож_ДЦ-1'!J149*'прилож_ДЦ-1'!J159)/'ДЦ-1,2'!J9,3)</f>
        <v>57.094000000000001</v>
      </c>
      <c r="K24" s="133">
        <f>ROUND(('прилож_ДЦ-1'!K106*'прилож_ДЦ-1'!K93+'прилож_ДЦ-1'!K122*'прилож_ДЦ-1'!K134+'прилож_ДЦ-1'!K149*'прилож_ДЦ-1'!K159)/'ДЦ-1,2'!K9,3)</f>
        <v>57.152000000000001</v>
      </c>
      <c r="L24" s="133">
        <f>ROUND(('прилож_ДЦ-1'!L106*'прилож_ДЦ-1'!L93+'прилож_ДЦ-1'!L122*'прилож_ДЦ-1'!L134+'прилож_ДЦ-1'!L149*'прилож_ДЦ-1'!L159)/'ДЦ-1,2'!L9,3)</f>
        <v>59.384999999999998</v>
      </c>
      <c r="M24" s="133">
        <f>ROUND(('прилож_ДЦ-1'!M106*'прилож_ДЦ-1'!M93+'прилож_ДЦ-1'!M122*'прилож_ДЦ-1'!M134+'прилож_ДЦ-1'!M149*'прилож_ДЦ-1'!M159)/'ДЦ-1,2'!M9,3)</f>
        <v>69.385000000000005</v>
      </c>
      <c r="N24" s="133">
        <f>ROUND(('прилож_ДЦ-1'!N106*'прилож_ДЦ-1'!N93+'прилож_ДЦ-1'!N122*'прилож_ДЦ-1'!N134+'прилож_ДЦ-1'!N149*'прилож_ДЦ-1'!N159)/'ДЦ-1,2'!N9,3)</f>
        <v>57.040999999999997</v>
      </c>
      <c r="O24" s="133">
        <f>ROUND(('прилож_ДЦ-1'!O106*'прилож_ДЦ-1'!O93+'прилож_ДЦ-1'!O122*'прилож_ДЦ-1'!O134+'прилож_ДЦ-1'!O149*'прилож_ДЦ-1'!O159)/'ДЦ-1,2'!O9,3)</f>
        <v>69.793000000000006</v>
      </c>
      <c r="P24" s="132">
        <f t="shared" si="0"/>
        <v>52.787048674130816</v>
      </c>
    </row>
    <row r="25" spans="2:16" ht="15.75" x14ac:dyDescent="0.25">
      <c r="B25" s="34" t="s">
        <v>160</v>
      </c>
      <c r="C25" s="35" t="s">
        <v>10</v>
      </c>
      <c r="D25" s="133"/>
      <c r="E25" s="133"/>
      <c r="F25" s="133"/>
      <c r="G25" s="133"/>
      <c r="H25" s="133">
        <f>ROUND(('прилож_ДЦ-1'!H107*'прилож_ДЦ-1'!H93)/'ДЦ-1,2'!H9,3)</f>
        <v>0.26300000000000001</v>
      </c>
      <c r="I25" s="133">
        <f>ROUND(('прилож_ДЦ-1'!I107*'прилож_ДЦ-1'!I93)/'ДЦ-1,2'!I9,3)</f>
        <v>0.224</v>
      </c>
      <c r="J25" s="133">
        <f>ROUND(('прилож_ДЦ-1'!J107*'прилож_ДЦ-1'!J93)/'ДЦ-1,2'!J9,3)</f>
        <v>0.38400000000000001</v>
      </c>
      <c r="K25" s="133">
        <f>ROUND(('прилож_ДЦ-1'!K107*'прилож_ДЦ-1'!K93)/'ДЦ-1,2'!K9,3)</f>
        <v>0.38400000000000001</v>
      </c>
      <c r="L25" s="133">
        <f>ROUND(('прилож_ДЦ-1'!L107*'прилож_ДЦ-1'!L93)/'ДЦ-1,2'!L9,3)</f>
        <v>0.38500000000000001</v>
      </c>
      <c r="M25" s="133">
        <f>ROUND(('прилож_ДЦ-1'!M107*'прилож_ДЦ-1'!M93)/'ДЦ-1,2'!M9,3)</f>
        <v>0.38500000000000001</v>
      </c>
      <c r="N25" s="133">
        <f>ROUND(('прилож_ДЦ-1'!N107*'прилож_ДЦ-1'!N93)/'ДЦ-1,2'!N9,3)</f>
        <v>0</v>
      </c>
      <c r="O25" s="133">
        <f>ROUND(('прилож_ДЦ-1'!O107*'прилож_ДЦ-1'!O93)/'ДЦ-1,2'!O9,3)</f>
        <v>0</v>
      </c>
      <c r="P25" s="132">
        <f>(D25*$D$9+E25*$E$9+F25*$F$9+G25*$G$9+H25*$H$9+I25*$I$9+J25*$J$9+K25*$K$9+L25*$L$9+M25*$M$9+N25*$N$9+O25*$O$9)/$P$9</f>
        <v>0.25332875662934584</v>
      </c>
    </row>
    <row r="26" spans="2:16" ht="15.75" x14ac:dyDescent="0.25">
      <c r="B26" s="39" t="s">
        <v>58</v>
      </c>
      <c r="C26" s="40" t="s">
        <v>10</v>
      </c>
      <c r="D26" s="134"/>
      <c r="E26" s="134"/>
      <c r="F26" s="134"/>
      <c r="G26" s="134"/>
      <c r="H26" s="134">
        <f t="shared" ref="H26:O26" si="1">SUM(H12:H25)</f>
        <v>1651.6309999999999</v>
      </c>
      <c r="I26" s="134">
        <f t="shared" si="1"/>
        <v>1646.9180000000001</v>
      </c>
      <c r="J26" s="134">
        <f>SUM(J12:J25)</f>
        <v>1613.7760000000003</v>
      </c>
      <c r="K26" s="134">
        <f>SUM(K12:K25)</f>
        <v>1617.0189999999998</v>
      </c>
      <c r="L26" s="134">
        <f t="shared" si="1"/>
        <v>1614.9929999999999</v>
      </c>
      <c r="M26" s="134">
        <f>SUM(M12:M25)</f>
        <v>1616.9790000000003</v>
      </c>
      <c r="N26" s="134">
        <f t="shared" si="1"/>
        <v>1615.2089999999998</v>
      </c>
      <c r="O26" s="134">
        <f t="shared" si="1"/>
        <v>1616.1120000000001</v>
      </c>
      <c r="P26" s="135">
        <f>SUM(P12:P25)</f>
        <v>1626.3558273718324</v>
      </c>
    </row>
    <row r="27" spans="2:16" ht="15.75" x14ac:dyDescent="0.25">
      <c r="B27" s="34" t="s">
        <v>59</v>
      </c>
      <c r="C27" s="35" t="s">
        <v>10</v>
      </c>
      <c r="D27" s="133"/>
      <c r="E27" s="133"/>
      <c r="F27" s="133"/>
      <c r="G27" s="133"/>
      <c r="H27" s="133">
        <f>ROUND(('прилож_ДЦ-1'!H77*'прилож_ДЦ-1'!H84+'прилож_ДЦ-1'!H93*'прилож_ДЦ-1'!H109+'прилож_ДЦ-1'!H122*'прилож_ДЦ-1'!H136+'прилож_ДЦ-1'!H149*'прилож_ДЦ-1'!H161)/H9,3)</f>
        <v>0</v>
      </c>
      <c r="I27" s="133">
        <f>ROUND(('прилож_ДЦ-1'!I77*'прилож_ДЦ-1'!I84+'прилож_ДЦ-1'!I93*'прилож_ДЦ-1'!I109+'прилож_ДЦ-1'!I122*'прилож_ДЦ-1'!I136+'прилож_ДЦ-1'!I149*'прилож_ДЦ-1'!I161)/I9,3)</f>
        <v>0</v>
      </c>
      <c r="J27" s="133">
        <f>ROUND(('прилож_ДЦ-1'!J77*'прилож_ДЦ-1'!J84+'прилож_ДЦ-1'!J93*'прилож_ДЦ-1'!J109+'прилож_ДЦ-1'!J122*'прилож_ДЦ-1'!J136+'прилож_ДЦ-1'!J149*'прилож_ДЦ-1'!J161)/J9,3)</f>
        <v>0</v>
      </c>
      <c r="K27" s="133">
        <f>ROUND(('прилож_ДЦ-1'!K77*'прилож_ДЦ-1'!K84+'прилож_ДЦ-1'!K93*'прилож_ДЦ-1'!K109+'прилож_ДЦ-1'!K122*'прилож_ДЦ-1'!K136+'прилож_ДЦ-1'!K149*'прилож_ДЦ-1'!K161)/K9,3)</f>
        <v>0</v>
      </c>
      <c r="L27" s="133">
        <f>ROUND(('прилож_ДЦ-1'!L77*'прилож_ДЦ-1'!L84+'прилож_ДЦ-1'!L93*'прилож_ДЦ-1'!L109+'прилож_ДЦ-1'!L122*'прилож_ДЦ-1'!L136+'прилож_ДЦ-1'!L149*'прилож_ДЦ-1'!L161)/L9,3)</f>
        <v>0</v>
      </c>
      <c r="M27" s="133">
        <f>ROUND(('прилож_ДЦ-1'!M77*'прилож_ДЦ-1'!M84+'прилож_ДЦ-1'!M93*'прилож_ДЦ-1'!M109+'прилож_ДЦ-1'!M122*'прилож_ДЦ-1'!M136+'прилож_ДЦ-1'!M149*'прилож_ДЦ-1'!M161)/M9,3)</f>
        <v>0</v>
      </c>
      <c r="N27" s="133">
        <f>ROUND(('прилож_ДЦ-1'!N77*'прилож_ДЦ-1'!N84+'прилож_ДЦ-1'!N93*'прилож_ДЦ-1'!N109+'прилож_ДЦ-1'!N122*'прилож_ДЦ-1'!N136+'прилож_ДЦ-1'!N149*'прилож_ДЦ-1'!N161)/N9,3)</f>
        <v>0</v>
      </c>
      <c r="O27" s="133">
        <f>ROUND(('прилож_ДЦ-1'!O77*'прилож_ДЦ-1'!O84+'прилож_ДЦ-1'!O93*'прилож_ДЦ-1'!O109+'прилож_ДЦ-1'!O122*'прилож_ДЦ-1'!O136+'прилож_ДЦ-1'!O149*'прилож_ДЦ-1'!O161)/O9,3)</f>
        <v>0</v>
      </c>
      <c r="P27" s="132">
        <f t="shared" ref="P27:P45" si="2">(D27*$D$9+E27*$E$9+F27*$F$9+G27*$G$9+H27*$H$9+I27*$I$9+J27*$J$9+K27*$K$9+L27*$L$9+M27*$M$9+N27*$N$9+O27*$O$9)/$P$9</f>
        <v>0</v>
      </c>
    </row>
    <row r="28" spans="2:16" ht="15.75" x14ac:dyDescent="0.25">
      <c r="B28" s="34" t="s">
        <v>60</v>
      </c>
      <c r="C28" s="35" t="s">
        <v>10</v>
      </c>
      <c r="D28" s="133"/>
      <c r="E28" s="133"/>
      <c r="F28" s="133"/>
      <c r="G28" s="133"/>
      <c r="H28" s="133">
        <f>ROUND(('прилож_ДЦ-1'!H110*'прилож_ДЦ-1'!H93+'прилож_ДЦ-1'!H162*'прилож_ДЦ-1'!H149)/H9,3)</f>
        <v>0</v>
      </c>
      <c r="I28" s="133">
        <f>ROUND(('прилож_ДЦ-1'!I110*'прилож_ДЦ-1'!I93+'прилож_ДЦ-1'!I162*'прилож_ДЦ-1'!I149)/I9,3)</f>
        <v>0</v>
      </c>
      <c r="J28" s="133">
        <f>ROUND(('прилож_ДЦ-1'!J110*'прилож_ДЦ-1'!J93+'прилож_ДЦ-1'!J162*'прилож_ДЦ-1'!J149)/J9,3)</f>
        <v>0</v>
      </c>
      <c r="K28" s="133">
        <f>ROUND(('прилож_ДЦ-1'!K110*'прилож_ДЦ-1'!K93+'прилож_ДЦ-1'!K162*'прилож_ДЦ-1'!K149)/K9,3)</f>
        <v>0</v>
      </c>
      <c r="L28" s="133">
        <f>ROUND(('прилож_ДЦ-1'!L110*'прилож_ДЦ-1'!L93+'прилож_ДЦ-1'!L162*'прилож_ДЦ-1'!L149)/L9,3)</f>
        <v>0</v>
      </c>
      <c r="M28" s="133">
        <f>ROUND(('прилож_ДЦ-1'!M110*'прилож_ДЦ-1'!M93+'прилож_ДЦ-1'!M162*'прилож_ДЦ-1'!M149)/M9,3)</f>
        <v>0</v>
      </c>
      <c r="N28" s="133">
        <f>ROUND(('прилож_ДЦ-1'!N110*'прилож_ДЦ-1'!N93+'прилож_ДЦ-1'!N162*'прилож_ДЦ-1'!N149)/N9,3)</f>
        <v>0</v>
      </c>
      <c r="O28" s="133">
        <f>ROUND(('прилож_ДЦ-1'!O110*'прилож_ДЦ-1'!O93+'прилож_ДЦ-1'!O162*'прилож_ДЦ-1'!O149)/O9,3)</f>
        <v>0</v>
      </c>
      <c r="P28" s="132">
        <f t="shared" si="2"/>
        <v>0</v>
      </c>
    </row>
    <row r="29" spans="2:16" ht="15.75" hidden="1" outlineLevel="1" x14ac:dyDescent="0.25">
      <c r="B29" s="39" t="s">
        <v>162</v>
      </c>
      <c r="C29" s="40" t="s">
        <v>10</v>
      </c>
      <c r="D29" s="136"/>
      <c r="E29" s="136"/>
      <c r="F29" s="136"/>
      <c r="G29" s="136"/>
      <c r="H29" s="136">
        <f>ROUND(('прилож_ДЦ-1'!H9*'прилож_ДЦ-1'!H11+'прилож_ДЦ-1'!H22*'прилож_ДЦ-1'!H24+'прилож_ДЦ-1'!H36*'прилож_ДЦ-1'!H38+'прилож_ДЦ-1'!H56*'прилож_ДЦ-1'!H54)/H9,3)</f>
        <v>333.28500000000003</v>
      </c>
      <c r="I29" s="136">
        <f>ROUND(('прилож_ДЦ-1'!I9*'прилож_ДЦ-1'!I11+'прилож_ДЦ-1'!I22*'прилож_ДЦ-1'!I24+'прилож_ДЦ-1'!I36*'прилож_ДЦ-1'!I38+'прилож_ДЦ-1'!I56*'прилож_ДЦ-1'!I54)/I9,3)</f>
        <v>333.19900000000001</v>
      </c>
      <c r="J29" s="136">
        <f>ROUND(('прилож_ДЦ-1'!J9*'прилож_ДЦ-1'!J11+'прилож_ДЦ-1'!J22*'прилож_ДЦ-1'!J24+'прилож_ДЦ-1'!J36*'прилож_ДЦ-1'!J38+'прилож_ДЦ-1'!J56*'прилож_ДЦ-1'!J54)/J9,3)</f>
        <v>337.327</v>
      </c>
      <c r="K29" s="136">
        <f>ROUND(('прилож_ДЦ-1'!K9*'прилож_ДЦ-1'!K11+'прилож_ДЦ-1'!K22*'прилож_ДЦ-1'!K24+'прилож_ДЦ-1'!K36*'прилож_ДЦ-1'!K38+'прилож_ДЦ-1'!K56*'прилож_ДЦ-1'!K54)/K9,3)</f>
        <v>337.62900000000002</v>
      </c>
      <c r="L29" s="136">
        <f>ROUND(('прилож_ДЦ-1'!L9*'прилож_ДЦ-1'!L11+'прилож_ДЦ-1'!L22*'прилож_ДЦ-1'!L24+'прилож_ДЦ-1'!L36*'прилож_ДЦ-1'!L38+'прилож_ДЦ-1'!L56*'прилож_ДЦ-1'!L54)/L9,3)</f>
        <v>337.32799999999997</v>
      </c>
      <c r="M29" s="136">
        <f>ROUND(('прилож_ДЦ-1'!M9*'прилож_ДЦ-1'!M11+'прилож_ДЦ-1'!M22*'прилож_ДЦ-1'!M24+'прилож_ДЦ-1'!M36*'прилож_ДЦ-1'!M38+'прилож_ДЦ-1'!M56*'прилож_ДЦ-1'!M54)/M9,3)</f>
        <v>336.75599999999997</v>
      </c>
      <c r="N29" s="136">
        <f>ROUND(('прилож_ДЦ-1'!N9*'прилож_ДЦ-1'!N11+'прилож_ДЦ-1'!N22*'прилож_ДЦ-1'!N24+'прилож_ДЦ-1'!N36*'прилож_ДЦ-1'!N38+'прилож_ДЦ-1'!N56*'прилож_ДЦ-1'!N54)/N9,3)</f>
        <v>346.86500000000001</v>
      </c>
      <c r="O29" s="136">
        <f>ROUND(('прилож_ДЦ-1'!O9*'прилож_ДЦ-1'!O11+'прилож_ДЦ-1'!O22*'прилож_ДЦ-1'!O24+'прилож_ДЦ-1'!O36*'прилож_ДЦ-1'!O38+'прилож_ДЦ-1'!O56*'прилож_ДЦ-1'!O54)/O9,3)</f>
        <v>378.46600000000001</v>
      </c>
      <c r="P29" s="132">
        <f t="shared" si="2"/>
        <v>341.59625845609889</v>
      </c>
    </row>
    <row r="30" spans="2:16" ht="15.75" hidden="1" outlineLevel="1" x14ac:dyDescent="0.25">
      <c r="B30" s="34" t="s">
        <v>62</v>
      </c>
      <c r="C30" s="35" t="s">
        <v>10</v>
      </c>
      <c r="D30" s="133"/>
      <c r="E30" s="133"/>
      <c r="F30" s="133"/>
      <c r="G30" s="133"/>
      <c r="H30" s="133">
        <f>ROUND(('прилож_ДЦ-1'!H54*'прилож_ДЦ-1'!H57)/H9,3)</f>
        <v>5.3339999999999996</v>
      </c>
      <c r="I30" s="133">
        <f>ROUND(('прилож_ДЦ-1'!I54*'прилож_ДЦ-1'!I57)/I9,3)</f>
        <v>0</v>
      </c>
      <c r="J30" s="133">
        <f>ROUND(('прилож_ДЦ-1'!J54*'прилож_ДЦ-1'!J57)/J9,3)</f>
        <v>0</v>
      </c>
      <c r="K30" s="133">
        <f>ROUND(('прилож_ДЦ-1'!K54*'прилож_ДЦ-1'!K57)/K9,3)</f>
        <v>0</v>
      </c>
      <c r="L30" s="133">
        <f>ROUND(('прилож_ДЦ-1'!L54*'прилож_ДЦ-1'!L57)/L9,3)</f>
        <v>0</v>
      </c>
      <c r="M30" s="133">
        <f>ROUND(('прилож_ДЦ-1'!M54*'прилож_ДЦ-1'!M57)/M9,3)</f>
        <v>0.94</v>
      </c>
      <c r="N30" s="133">
        <f>ROUND(('прилож_ДЦ-1'!N54*'прилож_ДЦ-1'!N57)/N9,3)</f>
        <v>0</v>
      </c>
      <c r="O30" s="133">
        <f>ROUND(('прилож_ДЦ-1'!O54*'прилож_ДЦ-1'!O57)/O9,3)</f>
        <v>0.96599999999999997</v>
      </c>
      <c r="P30" s="132">
        <f t="shared" si="2"/>
        <v>1.0954114319387154</v>
      </c>
    </row>
    <row r="31" spans="2:16" ht="15.75" hidden="1" outlineLevel="1" x14ac:dyDescent="0.25">
      <c r="B31" s="36" t="s">
        <v>158</v>
      </c>
      <c r="C31" s="35" t="s">
        <v>10</v>
      </c>
      <c r="D31" s="133"/>
      <c r="E31" s="133"/>
      <c r="F31" s="133"/>
      <c r="G31" s="133"/>
      <c r="H31" s="133">
        <f>ROUND(('прилож_ДЦ-1'!H36*'прилож_ДЦ-1'!H40+'прилож_ДЦ-1'!H54*'прилож_ДЦ-1'!H58)/H9,3)</f>
        <v>7.7910000000000004</v>
      </c>
      <c r="I31" s="133">
        <f>ROUND(('прилож_ДЦ-1'!I36*'прилож_ДЦ-1'!I40+'прилож_ДЦ-1'!I54*'прилож_ДЦ-1'!I58)/I9,3)</f>
        <v>16.026</v>
      </c>
      <c r="J31" s="133">
        <f>ROUND(('прилож_ДЦ-1'!J36*'прилож_ДЦ-1'!J40+'прилож_ДЦ-1'!J54*'прилож_ДЦ-1'!J58)/J9,3)</f>
        <v>10.986000000000001</v>
      </c>
      <c r="K31" s="133">
        <f>ROUND(('прилож_ДЦ-1'!K36*'прилож_ДЦ-1'!K40+'прилож_ДЦ-1'!K54*'прилож_ДЦ-1'!K58)/K9,3)</f>
        <v>10.975</v>
      </c>
      <c r="L31" s="133">
        <f>ROUND(('прилож_ДЦ-1'!L36*'прилож_ДЦ-1'!L40+'прилож_ДЦ-1'!L54*'прилож_ДЦ-1'!L58)/L9,3)</f>
        <v>10.98</v>
      </c>
      <c r="M31" s="133">
        <f>ROUND(('прилож_ДЦ-1'!M36*'прилож_ДЦ-1'!M40+'прилож_ДЦ-1'!M54*'прилож_ДЦ-1'!M58)/M9,3)</f>
        <v>11.003</v>
      </c>
      <c r="N31" s="133">
        <f>ROUND(('прилож_ДЦ-1'!N36*'прилож_ДЦ-1'!N40+'прилож_ДЦ-1'!N54*'прилож_ДЦ-1'!N58)/N9,3)</f>
        <v>11.307</v>
      </c>
      <c r="O31" s="133">
        <f>ROUND(('прилож_ДЦ-1'!O36*'прилож_ДЦ-1'!O40+'прилож_ДЦ-1'!O54*'прилож_ДЦ-1'!O58)/O9,3)</f>
        <v>12.603</v>
      </c>
      <c r="P31" s="132">
        <f t="shared" si="2"/>
        <v>11.434719063052443</v>
      </c>
    </row>
    <row r="32" spans="2:16" ht="15.75" hidden="1" outlineLevel="1" x14ac:dyDescent="0.25">
      <c r="B32" s="36" t="s">
        <v>159</v>
      </c>
      <c r="C32" s="35" t="s">
        <v>10</v>
      </c>
      <c r="D32" s="133"/>
      <c r="E32" s="133"/>
      <c r="F32" s="133"/>
      <c r="G32" s="133"/>
      <c r="H32" s="133">
        <f>ROUND(('прилож_ДЦ-1'!H36*'прилож_ДЦ-1'!H41+'прилож_ДЦ-1'!H54*'прилож_ДЦ-1'!H59)/H9,3)</f>
        <v>5.234</v>
      </c>
      <c r="I32" s="133">
        <f>ROUND(('прилож_ДЦ-1'!I36*'прилож_ДЦ-1'!I41+'прилож_ДЦ-1'!I54*'прилож_ДЦ-1'!I59)/I9,3)</f>
        <v>5.6479999999999997</v>
      </c>
      <c r="J32" s="133">
        <f>ROUND(('прилож_ДЦ-1'!J36*'прилож_ДЦ-1'!J41+'прилож_ДЦ-1'!J54*'прилож_ДЦ-1'!J59)/J9,3)</f>
        <v>7.4859999999999998</v>
      </c>
      <c r="K32" s="133">
        <f>ROUND(('прилож_ДЦ-1'!K36*'прилож_ДЦ-1'!K41+'прилож_ДЦ-1'!K54*'прилож_ДЦ-1'!K59)/K9,3)</f>
        <v>7.4980000000000002</v>
      </c>
      <c r="L32" s="133">
        <f>ROUND(('прилож_ДЦ-1'!L36*'прилож_ДЦ-1'!L41+'прилож_ДЦ-1'!L54*'прилож_ДЦ-1'!L59)/L9,3)</f>
        <v>7.867</v>
      </c>
      <c r="M32" s="133">
        <f>ROUND(('прилож_ДЦ-1'!M36*'прилож_ДЦ-1'!M41+'прилож_ДЦ-1'!M54*'прилож_ДЦ-1'!M59)/M9,3)</f>
        <v>5.6379999999999999</v>
      </c>
      <c r="N32" s="133">
        <f>ROUND(('прилож_ДЦ-1'!N36*'прилож_ДЦ-1'!N41+'прилож_ДЦ-1'!N54*'прилож_ДЦ-1'!N59)/N9,3)</f>
        <v>5.5640000000000001</v>
      </c>
      <c r="O32" s="133">
        <f>ROUND(('прилож_ДЦ-1'!O36*'прилож_ДЦ-1'!O41+'прилож_ДЦ-1'!O54*'прилож_ДЦ-1'!O59)/O9,3)</f>
        <v>1.181</v>
      </c>
      <c r="P32" s="132">
        <f>(D32*$D$9+E32*$E$9+F32*$F$9+G32*$G$9+H32*$H$9+I32*$I$9+J32*$J$9+K32*$K$9+L32*$L$9+M32*$M$9+N32*$N$9+O32*$O$9)/$P$9</f>
        <v>5.7552074837949307</v>
      </c>
    </row>
    <row r="33" spans="2:16" ht="47.25" hidden="1" outlineLevel="1" x14ac:dyDescent="0.25">
      <c r="B33" s="36" t="s">
        <v>64</v>
      </c>
      <c r="C33" s="35" t="s">
        <v>10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2">
        <f t="shared" si="2"/>
        <v>0</v>
      </c>
    </row>
    <row r="34" spans="2:16" ht="15.75" hidden="1" outlineLevel="1" x14ac:dyDescent="0.25">
      <c r="B34" s="36" t="s">
        <v>65</v>
      </c>
      <c r="C34" s="35" t="s">
        <v>10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2">
        <f t="shared" si="2"/>
        <v>0</v>
      </c>
    </row>
    <row r="35" spans="2:16" ht="15.75" hidden="1" outlineLevel="1" x14ac:dyDescent="0.25">
      <c r="B35" s="34" t="s">
        <v>143</v>
      </c>
      <c r="C35" s="35" t="s">
        <v>10</v>
      </c>
      <c r="D35" s="133"/>
      <c r="E35" s="133"/>
      <c r="F35" s="133"/>
      <c r="G35" s="133"/>
      <c r="H35" s="133">
        <f>ROUND(('прилож_ДЦ-1'!H22*'прилож_ДЦ-1'!H26+'прилож_ДЦ-1'!H36*'прилож_ДЦ-1'!H44+'прилож_ДЦ-1'!H54*'прилож_ДЦ-1'!H61)/H9,3)</f>
        <v>27.831</v>
      </c>
      <c r="I35" s="133">
        <f>ROUND(('прилож_ДЦ-1'!I22*'прилож_ДЦ-1'!I26+'прилож_ДЦ-1'!I36*'прилож_ДЦ-1'!I44+'прилож_ДЦ-1'!I54*'прилож_ДЦ-1'!I61)/I9,3)</f>
        <v>27.991</v>
      </c>
      <c r="J35" s="133">
        <f>ROUND(('прилож_ДЦ-1'!J22*'прилож_ДЦ-1'!J26+'прилож_ДЦ-1'!J36*'прилож_ДЦ-1'!J44+'прилож_ДЦ-1'!J54*'прилож_ДЦ-1'!J61)/J9,3)</f>
        <v>32.073</v>
      </c>
      <c r="K35" s="133">
        <f>ROUND(('прилож_ДЦ-1'!K22*'прилож_ДЦ-1'!K26+'прилож_ДЦ-1'!K36*'прилож_ДЦ-1'!K44+'прилож_ДЦ-1'!K54*'прилож_ДЦ-1'!K61)/K9,3)</f>
        <v>32.090000000000003</v>
      </c>
      <c r="L35" s="133">
        <f>ROUND(('прилож_ДЦ-1'!L22*'прилож_ДЦ-1'!L26+'прилож_ДЦ-1'!L36*'прилож_ДЦ-1'!L44+'прилож_ДЦ-1'!L54*'прилож_ДЦ-1'!L61)/L9,3)</f>
        <v>31.457000000000001</v>
      </c>
      <c r="M35" s="133">
        <f>ROUND(('прилож_ДЦ-1'!M22*'прилож_ДЦ-1'!M26+'прилож_ДЦ-1'!M36*'прилож_ДЦ-1'!M44+'прилож_ДЦ-1'!M54*'прилож_ДЦ-1'!M61)/M9,3)</f>
        <v>32.063000000000002</v>
      </c>
      <c r="N35" s="133">
        <f>ROUND(('прилож_ДЦ-1'!N22*'прилож_ДЦ-1'!N26+'прилож_ДЦ-1'!N36*'прилож_ДЦ-1'!N44+'прилож_ДЦ-1'!N54*'прилож_ДЦ-1'!N61)/N9,3)</f>
        <v>31.966999999999999</v>
      </c>
      <c r="O35" s="133">
        <f>ROUND(('прилож_ДЦ-1'!O22*'прилож_ДЦ-1'!O26+'прилож_ДЦ-1'!O36*'прилож_ДЦ-1'!O44+'прилож_ДЦ-1'!O54*'прилож_ДЦ-1'!O61)/O9,3)</f>
        <v>23.962</v>
      </c>
      <c r="P35" s="132">
        <f>(D35*$D$9+E35*$E$9+F35*$F$9+G35*$G$9+H35*$H$9+I35*$I$9+J35*$J$9+K35*$K$9+L35*$L$9+M35*$M$9+N35*$N$9+O35*$O$9)/$P$9</f>
        <v>29.789861461402474</v>
      </c>
    </row>
    <row r="36" spans="2:16" ht="15.75" hidden="1" outlineLevel="1" x14ac:dyDescent="0.25">
      <c r="B36" s="39" t="s">
        <v>144</v>
      </c>
      <c r="C36" s="40" t="s">
        <v>10</v>
      </c>
      <c r="D36" s="136"/>
      <c r="E36" s="136"/>
      <c r="F36" s="136"/>
      <c r="G36" s="136"/>
      <c r="H36" s="136">
        <f>ROUND(('прилож_ДЦ-1'!H36*'прилож_ДЦ-1'!H45+'прилож_ДЦ-1'!H54*'прилож_ДЦ-1'!H62)/H9,3)</f>
        <v>95.361000000000004</v>
      </c>
      <c r="I36" s="136">
        <f>ROUND(('прилож_ДЦ-1'!I36*'прилож_ДЦ-1'!I45+'прилож_ДЦ-1'!I54*'прилож_ДЦ-1'!I62)/I9,3)</f>
        <v>100.471</v>
      </c>
      <c r="J36" s="136">
        <f>ROUND(('прилож_ДЦ-1'!J36*'прилож_ДЦ-1'!J45+'прилож_ДЦ-1'!J54*'прилож_ДЦ-1'!J62)/J9,3)</f>
        <v>79.412999999999997</v>
      </c>
      <c r="K36" s="136">
        <f>ROUND(('прилож_ДЦ-1'!K36*'прилож_ДЦ-1'!K45+'прилож_ДЦ-1'!K54*'прилож_ДЦ-1'!K62)/K9,3)</f>
        <v>79.480999999999995</v>
      </c>
      <c r="L36" s="136">
        <f>ROUND(('прилож_ДЦ-1'!L36*'прилож_ДЦ-1'!L45+'прилож_ДЦ-1'!L54*'прилож_ДЦ-1'!L62)/L9,3)</f>
        <v>79.352999999999994</v>
      </c>
      <c r="M36" s="136">
        <f>ROUND(('прилож_ДЦ-1'!M36*'прилож_ДЦ-1'!M45+'прилож_ДЦ-1'!M54*'прилож_ДЦ-1'!M62)/M9,3)</f>
        <v>79.287999999999997</v>
      </c>
      <c r="N36" s="136">
        <f>ROUND(('прилож_ДЦ-1'!N36*'прилож_ДЦ-1'!N45+'прилож_ДЦ-1'!N54*'прилож_ДЦ-1'!N62)/N9,3)</f>
        <v>75.652000000000001</v>
      </c>
      <c r="O36" s="136">
        <f>ROUND(('прилож_ДЦ-1'!O36*'прилож_ДЦ-1'!O45+'прилож_ДЦ-1'!O54*'прилож_ДЦ-1'!O62)/O9,3)</f>
        <v>69.397000000000006</v>
      </c>
      <c r="P36" s="132">
        <f t="shared" si="2"/>
        <v>83.696636387743055</v>
      </c>
    </row>
    <row r="37" spans="2:16" ht="18" hidden="1" outlineLevel="1" x14ac:dyDescent="0.25">
      <c r="B37" s="39" t="s">
        <v>145</v>
      </c>
      <c r="C37" s="40" t="s">
        <v>68</v>
      </c>
      <c r="D37" s="136"/>
      <c r="E37" s="136"/>
      <c r="F37" s="136"/>
      <c r="G37" s="136"/>
      <c r="H37" s="136">
        <f>ROUND(('прилож_ДЦ-1'!H22*'прилож_ДЦ-1'!H28+'прилож_ДЦ-1'!H36*'прилож_ДЦ-1'!H46+'прилож_ДЦ-1'!H54*'прилож_ДЦ-1'!H63)/H9,3)</f>
        <v>74.491</v>
      </c>
      <c r="I37" s="136">
        <f>ROUND(('прилож_ДЦ-1'!I22*'прилож_ДЦ-1'!I28+'прилож_ДЦ-1'!I36*'прилож_ДЦ-1'!I46+'прилож_ДЦ-1'!I54*'прилож_ДЦ-1'!I63)/I9,3)</f>
        <v>72.295000000000002</v>
      </c>
      <c r="J37" s="136">
        <f>ROUND(('прилож_ДЦ-1'!J22*'прилож_ДЦ-1'!J28+'прилож_ДЦ-1'!J36*'прилож_ДЦ-1'!J46+'прилож_ДЦ-1'!J54*'прилож_ДЦ-1'!J63)/J9,3)</f>
        <v>80.212000000000003</v>
      </c>
      <c r="K37" s="136">
        <f>ROUND(('прилож_ДЦ-1'!K22*'прилож_ДЦ-1'!K28+'прилож_ДЦ-1'!K36*'прилож_ДЦ-1'!K46+'прилож_ДЦ-1'!K54*'прилож_ДЦ-1'!K63)/K9,3)</f>
        <v>80.203000000000003</v>
      </c>
      <c r="L37" s="136">
        <f>ROUND(('прилож_ДЦ-1'!L22*'прилож_ДЦ-1'!L28+'прилож_ДЦ-1'!L36*'прилож_ДЦ-1'!L46+'прилож_ДЦ-1'!L54*'прилож_ДЦ-1'!L63)/L9,3)</f>
        <v>80.239999999999995</v>
      </c>
      <c r="M37" s="136">
        <f>ROUND(('прилож_ДЦ-1'!M22*'прилож_ДЦ-1'!M28+'прилож_ДЦ-1'!M36*'прилож_ДЦ-1'!M46+'прилож_ДЦ-1'!M54*'прилож_ДЦ-1'!M63)/M9,3)</f>
        <v>80.257999999999996</v>
      </c>
      <c r="N37" s="136">
        <f>ROUND(('прилож_ДЦ-1'!N22*'прилож_ДЦ-1'!N28+'прилож_ДЦ-1'!N36*'прилож_ДЦ-1'!N46+'прилож_ДЦ-1'!N54*'прилож_ДЦ-1'!N63)/N9,3)</f>
        <v>78.882000000000005</v>
      </c>
      <c r="O37" s="136">
        <f>ROUND(('прилож_ДЦ-1'!O22*'прилож_ДЦ-1'!O28+'прилож_ДЦ-1'!O36*'прилож_ДЦ-1'!O46+'прилож_ДЦ-1'!O54*'прилож_ДЦ-1'!O63)/O9,3)</f>
        <v>79.103999999999999</v>
      </c>
      <c r="P37" s="132">
        <f t="shared" si="2"/>
        <v>77.798234030642305</v>
      </c>
    </row>
    <row r="38" spans="2:16" ht="18" hidden="1" outlineLevel="1" x14ac:dyDescent="0.25">
      <c r="B38" s="39" t="s">
        <v>146</v>
      </c>
      <c r="C38" s="40" t="s">
        <v>68</v>
      </c>
      <c r="D38" s="136"/>
      <c r="E38" s="136"/>
      <c r="F38" s="136"/>
      <c r="G38" s="136"/>
      <c r="H38" s="136">
        <f>ROUND(('прилож_ДЦ-1'!H22*'прилож_ДЦ-1'!H29+'прилож_ДЦ-1'!H36*'прилож_ДЦ-1'!H47+'прилож_ДЦ-1'!H54*'прилож_ДЦ-1'!H64)/H9,3)</f>
        <v>109.474</v>
      </c>
      <c r="I38" s="136">
        <f>ROUND(('прилож_ДЦ-1'!I22*'прилож_ДЦ-1'!I29+'прилож_ДЦ-1'!I36*'прилож_ДЦ-1'!I47+'прилож_ДЦ-1'!I54*'прилож_ДЦ-1'!I64)/I9,3)</f>
        <v>110</v>
      </c>
      <c r="J38" s="136">
        <f>ROUND(('прилож_ДЦ-1'!J22*'прилож_ДЦ-1'!J29+'прилож_ДЦ-1'!J36*'прилож_ДЦ-1'!J47+'прилож_ДЦ-1'!J54*'прилож_ДЦ-1'!J64)/J9,3)</f>
        <v>106.15600000000001</v>
      </c>
      <c r="K38" s="136">
        <f>ROUND(('прилож_ДЦ-1'!K22*'прилож_ДЦ-1'!K29+'прилож_ДЦ-1'!K36*'прилож_ДЦ-1'!K47+'прилож_ДЦ-1'!K54*'прилож_ДЦ-1'!K64)/K9,3)</f>
        <v>106.152</v>
      </c>
      <c r="L38" s="136">
        <f>ROUND(('прилож_ДЦ-1'!L22*'прилож_ДЦ-1'!L29+'прилож_ДЦ-1'!L36*'прилож_ДЦ-1'!L47+'прилож_ДЦ-1'!L54*'прилож_ДЦ-1'!L64)/L9,3)</f>
        <v>106.155</v>
      </c>
      <c r="M38" s="136">
        <f>ROUND(('прилож_ДЦ-1'!M22*'прилож_ДЦ-1'!M29+'прилож_ДЦ-1'!M36*'прилож_ДЦ-1'!M47+'прилож_ДЦ-1'!M54*'прилож_ДЦ-1'!M64)/M9,3)</f>
        <v>106.15600000000001</v>
      </c>
      <c r="N38" s="136">
        <f>ROUND(('прилож_ДЦ-1'!N22*'прилож_ДЦ-1'!N29+'прилож_ДЦ-1'!N36*'прилож_ДЦ-1'!N47+'прилож_ДЦ-1'!N54*'прилож_ДЦ-1'!N64)/N9,3)</f>
        <v>103.95699999999999</v>
      </c>
      <c r="O38" s="136">
        <f>ROUND(('прилож_ДЦ-1'!O22*'прилож_ДЦ-1'!O29+'прилож_ДЦ-1'!O36*'прилож_ДЦ-1'!O47+'прилож_ДЦ-1'!O54*'прилож_ДЦ-1'!O64)/O9,3)</f>
        <v>108.02500000000001</v>
      </c>
      <c r="P38" s="132">
        <f t="shared" si="2"/>
        <v>107.23308771361225</v>
      </c>
    </row>
    <row r="39" spans="2:16" ht="15.75" collapsed="1" x14ac:dyDescent="0.25">
      <c r="B39" s="34" t="s">
        <v>70</v>
      </c>
      <c r="C39" s="35" t="s">
        <v>10</v>
      </c>
      <c r="D39" s="133"/>
      <c r="E39" s="133"/>
      <c r="F39" s="133"/>
      <c r="G39" s="133"/>
      <c r="H39" s="133">
        <f>ROUND(('прилож_ДЦ-1'!H111*'прилож_ДЦ-1'!H93+'прилож_ДЦ-1'!H137*'прилож_ДЦ-1'!H122+'прилож_ДЦ-1'!H149*'прилож_ДЦ-1'!H163)/H9,3)</f>
        <v>100.602</v>
      </c>
      <c r="I39" s="133">
        <f>ROUND(('прилож_ДЦ-1'!I111*'прилож_ДЦ-1'!I93+'прилож_ДЦ-1'!I137*'прилож_ДЦ-1'!I122+'прилож_ДЦ-1'!I149*'прилож_ДЦ-1'!I163)/I9,3)</f>
        <v>97.462000000000003</v>
      </c>
      <c r="J39" s="133">
        <f>ROUND(('прилож_ДЦ-1'!J111*'прилож_ДЦ-1'!J93+'прилож_ДЦ-1'!J137*'прилож_ДЦ-1'!J122+'прилож_ДЦ-1'!J149*'прилож_ДЦ-1'!J163)/J9,3)</f>
        <v>95.558999999999997</v>
      </c>
      <c r="K39" s="133">
        <f>ROUND(('прилож_ДЦ-1'!K111*'прилож_ДЦ-1'!K93+'прилож_ДЦ-1'!K137*'прилож_ДЦ-1'!K122+'прилож_ДЦ-1'!K149*'прилож_ДЦ-1'!K163)/K9,3)</f>
        <v>95.534999999999997</v>
      </c>
      <c r="L39" s="133">
        <f>ROUND(('прилож_ДЦ-1'!L111*'прилож_ДЦ-1'!L93+'прилож_ДЦ-1'!L137*'прилож_ДЦ-1'!L122+'прилож_ДЦ-1'!L149*'прилож_ДЦ-1'!L163)/L9,3)</f>
        <v>95.155000000000001</v>
      </c>
      <c r="M39" s="133">
        <f>ROUND(('прилож_ДЦ-1'!M111*'прилож_ДЦ-1'!M93+'прилож_ДЦ-1'!M137*'прилож_ДЦ-1'!M122+'прилож_ДЦ-1'!M149*'прилож_ДЦ-1'!M163)/M9,3)</f>
        <v>96.082999999999998</v>
      </c>
      <c r="N39" s="133">
        <f>ROUND(('прилож_ДЦ-1'!N111*'прилож_ДЦ-1'!N93+'прилож_ДЦ-1'!N137*'прилож_ДЦ-1'!N122+'прилож_ДЦ-1'!N149*'прилож_ДЦ-1'!N163)/N9,3)</f>
        <v>97.808000000000007</v>
      </c>
      <c r="O39" s="133">
        <f>ROUND(('прилож_ДЦ-1'!O111*'прилож_ДЦ-1'!O93+'прилож_ДЦ-1'!O137*'прилож_ДЦ-1'!O122+'прилож_ДЦ-1'!O149*'прилож_ДЦ-1'!O163)/O9,3)</f>
        <v>107.643</v>
      </c>
      <c r="P39" s="132">
        <f t="shared" si="2"/>
        <v>98.272239186800221</v>
      </c>
    </row>
    <row r="40" spans="2:16" ht="15.75" x14ac:dyDescent="0.25">
      <c r="B40" s="34" t="s">
        <v>71</v>
      </c>
      <c r="C40" s="35" t="s">
        <v>10</v>
      </c>
      <c r="D40" s="133"/>
      <c r="E40" s="133"/>
      <c r="F40" s="133"/>
      <c r="G40" s="133"/>
      <c r="H40" s="133">
        <f>ROUND(('прилож_ДЦ-1'!H112*'прилож_ДЦ-1'!H93+'прилож_ДЦ-1'!H138*'прилож_ДЦ-1'!H122+'прилож_ДЦ-1'!H149*'прилож_ДЦ-1'!H164)/H9,3)</f>
        <v>0</v>
      </c>
      <c r="I40" s="133">
        <f>ROUND(('прилож_ДЦ-1'!I112*'прилож_ДЦ-1'!I93+'прилож_ДЦ-1'!I138*'прилож_ДЦ-1'!I122+'прилож_ДЦ-1'!I149*'прилож_ДЦ-1'!I164)/I9,3)</f>
        <v>0</v>
      </c>
      <c r="J40" s="133">
        <f>ROUND(('прилож_ДЦ-1'!J112*'прилож_ДЦ-1'!J93+'прилож_ДЦ-1'!J138*'прилож_ДЦ-1'!J122+'прилож_ДЦ-1'!J149*'прилож_ДЦ-1'!J164)/J9,3)</f>
        <v>0</v>
      </c>
      <c r="K40" s="133">
        <f>ROUND(('прилож_ДЦ-1'!K112*'прилож_ДЦ-1'!K93+'прилож_ДЦ-1'!K138*'прилож_ДЦ-1'!K122+'прилож_ДЦ-1'!K149*'прилож_ДЦ-1'!K164)/K9,3)</f>
        <v>0</v>
      </c>
      <c r="L40" s="133">
        <f>ROUND(('прилож_ДЦ-1'!L112*'прилож_ДЦ-1'!L93+'прилож_ДЦ-1'!L138*'прилож_ДЦ-1'!L122+'прилож_ДЦ-1'!L149*'прилож_ДЦ-1'!L164)/L9,3)</f>
        <v>0</v>
      </c>
      <c r="M40" s="133">
        <f>ROUND(('прилож_ДЦ-1'!M112*'прилож_ДЦ-1'!M93+'прилож_ДЦ-1'!M138*'прилож_ДЦ-1'!M122+'прилож_ДЦ-1'!M149*'прилож_ДЦ-1'!M164)/M9,3)</f>
        <v>0</v>
      </c>
      <c r="N40" s="133">
        <f>ROUND(('прилож_ДЦ-1'!N112*'прилож_ДЦ-1'!N93+'прилож_ДЦ-1'!N138*'прилож_ДЦ-1'!N122+'прилож_ДЦ-1'!N149*'прилож_ДЦ-1'!N164)/N9,3)</f>
        <v>0</v>
      </c>
      <c r="O40" s="133">
        <f>ROUND(('прилож_ДЦ-1'!O112*'прилож_ДЦ-1'!O93+'прилож_ДЦ-1'!O138*'прилож_ДЦ-1'!O122+'прилож_ДЦ-1'!O149*'прилож_ДЦ-1'!O164)/O9,3)</f>
        <v>0</v>
      </c>
      <c r="P40" s="132">
        <f t="shared" si="2"/>
        <v>0</v>
      </c>
    </row>
    <row r="41" spans="2:16" ht="15.75" x14ac:dyDescent="0.25">
      <c r="B41" s="34" t="s">
        <v>72</v>
      </c>
      <c r="C41" s="35" t="s">
        <v>10</v>
      </c>
      <c r="D41" s="133"/>
      <c r="E41" s="133"/>
      <c r="F41" s="133"/>
      <c r="G41" s="133"/>
      <c r="H41" s="133">
        <f>ROUND(('прилож_ДЦ-1'!H113*'прилож_ДЦ-1'!H$93+'прилож_ДЦ-1'!H139*'прилож_ДЦ-1'!H$122)/H$9,3)</f>
        <v>0</v>
      </c>
      <c r="I41" s="133">
        <f>ROUND(('прилож_ДЦ-1'!I113*'прилож_ДЦ-1'!I$93+'прилож_ДЦ-1'!I139*'прилож_ДЦ-1'!I$122)/I$9,3)</f>
        <v>0</v>
      </c>
      <c r="J41" s="133">
        <f>ROUND(('прилож_ДЦ-1'!J113*'прилож_ДЦ-1'!J$93+'прилож_ДЦ-1'!J139*'прилож_ДЦ-1'!J$122)/J$9,3)</f>
        <v>0</v>
      </c>
      <c r="K41" s="133">
        <f>ROUND(('прилож_ДЦ-1'!K113*'прилож_ДЦ-1'!K$93+'прилож_ДЦ-1'!K139*'прилож_ДЦ-1'!K$122)/K$9,3)</f>
        <v>0</v>
      </c>
      <c r="L41" s="133">
        <f>ROUND(('прилож_ДЦ-1'!L113*'прилож_ДЦ-1'!L$93+'прилож_ДЦ-1'!L139*'прилож_ДЦ-1'!L$122)/L$9,3)</f>
        <v>0</v>
      </c>
      <c r="M41" s="133">
        <f>ROUND(('прилож_ДЦ-1'!M113*'прилож_ДЦ-1'!M$93+'прилож_ДЦ-1'!M139*'прилож_ДЦ-1'!M$122)/M$9,3)</f>
        <v>0</v>
      </c>
      <c r="N41" s="133">
        <f>ROUND(('прилож_ДЦ-1'!N113*'прилож_ДЦ-1'!N$93+'прилож_ДЦ-1'!N139*'прилож_ДЦ-1'!N$122)/N$9,3)</f>
        <v>0</v>
      </c>
      <c r="O41" s="133">
        <f>ROUND(('прилож_ДЦ-1'!O113*'прилож_ДЦ-1'!O$93+'прилож_ДЦ-1'!O139*'прилож_ДЦ-1'!O$122)/O$9,3)</f>
        <v>0</v>
      </c>
      <c r="P41" s="132">
        <f t="shared" si="2"/>
        <v>0</v>
      </c>
    </row>
    <row r="42" spans="2:16" ht="15.75" x14ac:dyDescent="0.25">
      <c r="B42" s="34" t="s">
        <v>73</v>
      </c>
      <c r="C42" s="35" t="s">
        <v>10</v>
      </c>
      <c r="D42" s="137"/>
      <c r="E42" s="137"/>
      <c r="F42" s="137"/>
      <c r="G42" s="137"/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  <c r="P42" s="138">
        <f t="shared" si="2"/>
        <v>1</v>
      </c>
    </row>
    <row r="43" spans="2:16" ht="15.75" x14ac:dyDescent="0.25">
      <c r="B43" s="34" t="s">
        <v>74</v>
      </c>
      <c r="C43" s="35" t="s">
        <v>10</v>
      </c>
      <c r="D43" s="137"/>
      <c r="E43" s="137"/>
      <c r="F43" s="137"/>
      <c r="G43" s="137"/>
      <c r="H43" s="137">
        <v>6.5</v>
      </c>
      <c r="I43" s="137">
        <v>6</v>
      </c>
      <c r="J43" s="137">
        <v>4.8</v>
      </c>
      <c r="K43" s="137">
        <v>4.8</v>
      </c>
      <c r="L43" s="137">
        <v>4.7</v>
      </c>
      <c r="M43" s="137">
        <v>4.8</v>
      </c>
      <c r="N43" s="137">
        <v>4.7</v>
      </c>
      <c r="O43" s="137">
        <v>4.5</v>
      </c>
      <c r="P43" s="138">
        <f t="shared" si="2"/>
        <v>5.207386564525633</v>
      </c>
    </row>
    <row r="44" spans="2:16" ht="15.75" x14ac:dyDescent="0.25">
      <c r="B44" s="34" t="s">
        <v>75</v>
      </c>
      <c r="C44" s="35" t="s">
        <v>10</v>
      </c>
      <c r="D44" s="139"/>
      <c r="E44" s="139"/>
      <c r="F44" s="139"/>
      <c r="G44" s="139"/>
      <c r="H44" s="139">
        <f>ROUND(('прилож_ДЦ-1'!H140*'прилож_ДЦ-1'!H122+'прилож_ДЦ-1'!H149*'прилож_ДЦ-1'!H165)/H9,3)</f>
        <v>1.802</v>
      </c>
      <c r="I44" s="139">
        <f>ROUND(('прилож_ДЦ-1'!I140*'прилож_ДЦ-1'!I122+'прилож_ДЦ-1'!I149*'прилож_ДЦ-1'!I165)/I9,3)</f>
        <v>1.8220000000000001</v>
      </c>
      <c r="J44" s="139">
        <f>ROUND(('прилож_ДЦ-1'!J140*'прилож_ДЦ-1'!J122+'прилож_ДЦ-1'!J149*'прилож_ДЦ-1'!J165)/J9,3)</f>
        <v>1.7230000000000001</v>
      </c>
      <c r="K44" s="139">
        <f>ROUND(('прилож_ДЦ-1'!K140*'прилож_ДЦ-1'!K122+'прилож_ДЦ-1'!K149*'прилож_ДЦ-1'!K165)/K9,3)</f>
        <v>1.7250000000000001</v>
      </c>
      <c r="L44" s="139">
        <f>ROUND(('прилож_ДЦ-1'!L140*'прилож_ДЦ-1'!L122+'прилож_ДЦ-1'!L149*'прилож_ДЦ-1'!L165)/L9,3)</f>
        <v>1.661</v>
      </c>
      <c r="M44" s="139">
        <f>ROUND(('прилож_ДЦ-1'!M140*'прилож_ДЦ-1'!M122+'прилож_ДЦ-1'!M149*'прилож_ДЦ-1'!M165)/M9,3)</f>
        <v>1.7210000000000001</v>
      </c>
      <c r="N44" s="139">
        <f>ROUND(('прилож_ДЦ-1'!N140*'прилож_ДЦ-1'!N122+'прилож_ДЦ-1'!N149*'прилож_ДЦ-1'!N165)/N9,3)</f>
        <v>1.593</v>
      </c>
      <c r="O44" s="139">
        <f>ROUND(('прилож_ДЦ-1'!O140*'прилож_ДЦ-1'!O122+'прилож_ДЦ-1'!O149*'прилож_ДЦ-1'!O165)/O9,3)</f>
        <v>1.044</v>
      </c>
      <c r="P44" s="128">
        <f>(D44*$D$9+E44*$E$9+F44*$F$9+G44*$G$9+H44*$H$9+I44*$I$9+J44*$J$9+K44*$K$9+L44*$L$9+M44*$M$9+N44*$N$9+O44*$O$9)/$P$9</f>
        <v>1.6550364466705949</v>
      </c>
    </row>
    <row r="45" spans="2:16" ht="16.5" thickBot="1" x14ac:dyDescent="0.3">
      <c r="B45" s="89" t="s">
        <v>76</v>
      </c>
      <c r="C45" s="110" t="s">
        <v>10</v>
      </c>
      <c r="D45" s="129"/>
      <c r="E45" s="129"/>
      <c r="F45" s="129"/>
      <c r="G45" s="129"/>
      <c r="H45" s="129">
        <f>ROUND(('прилож_ДЦ-1'!H77*'прилож_ДЦ-1'!H85+'прилож_ДЦ-1'!H93*'прилож_ДЦ-1'!H114+'прилож_ДЦ-1'!H122*'прилож_ДЦ-1'!H141+'прилож_ДЦ-1'!H149*'прилож_ДЦ-1'!H166)/H9,3)</f>
        <v>347.255</v>
      </c>
      <c r="I45" s="129">
        <f>ROUND(('прилож_ДЦ-1'!I77*'прилож_ДЦ-1'!I85+'прилож_ДЦ-1'!I93*'прилож_ДЦ-1'!I114+'прилож_ДЦ-1'!I122*'прилож_ДЦ-1'!I141+'прилож_ДЦ-1'!I149*'прилож_ДЦ-1'!I166)/I9,3)</f>
        <v>340.59</v>
      </c>
      <c r="J45" s="129">
        <f>ROUND(('прилож_ДЦ-1'!J77*'прилож_ДЦ-1'!J85+'прилож_ДЦ-1'!J93*'прилож_ДЦ-1'!J114+'прилож_ДЦ-1'!J122*'прилож_ДЦ-1'!J141+'прилож_ДЦ-1'!J149*'прилож_ДЦ-1'!J166)/J9,3)</f>
        <v>305.625</v>
      </c>
      <c r="K45" s="129">
        <f>ROUND(('прилож_ДЦ-1'!K77*'прилож_ДЦ-1'!K85+'прилож_ДЦ-1'!K93*'прилож_ДЦ-1'!K114+'прилож_ДЦ-1'!K122*'прилож_ДЦ-1'!K141+'прилож_ДЦ-1'!K149*'прилож_ДЦ-1'!K166)/K9,3)</f>
        <v>308.25200000000001</v>
      </c>
      <c r="L45" s="129">
        <f>ROUND(('прилож_ДЦ-1'!L77*'прилож_ДЦ-1'!L85+'прилож_ДЦ-1'!L93*'прилож_ДЦ-1'!L114+'прилож_ДЦ-1'!L122*'прилож_ДЦ-1'!L141+'прилож_ДЦ-1'!L149*'прилож_ДЦ-1'!L166)/L9,3)</f>
        <v>305.839</v>
      </c>
      <c r="M45" s="129">
        <f>ROUND(('прилож_ДЦ-1'!M77*'прилож_ДЦ-1'!M85+'прилож_ДЦ-1'!M93*'прилож_ДЦ-1'!M114+'прилож_ДЦ-1'!M122*'прилож_ДЦ-1'!M141+'прилож_ДЦ-1'!M149*'прилож_ДЦ-1'!M166)/M9,3)</f>
        <v>307.59500000000003</v>
      </c>
      <c r="N45" s="129">
        <f>ROUND(('прилож_ДЦ-1'!N77*'прилож_ДЦ-1'!N85+'прилож_ДЦ-1'!N93*'прилож_ДЦ-1'!N114+'прилож_ДЦ-1'!N122*'прилож_ДЦ-1'!N141+'прилож_ДЦ-1'!N149*'прилож_ДЦ-1'!N166)/N9,3)</f>
        <v>307.15100000000001</v>
      </c>
      <c r="O45" s="129">
        <f>ROUND(('прилож_ДЦ-1'!O77*'прилож_ДЦ-1'!O85+'прилож_ДЦ-1'!O93*'прилож_ДЦ-1'!O114+'прилож_ДЦ-1'!O122*'прилож_ДЦ-1'!O141+'прилож_ДЦ-1'!O149*'прилож_ДЦ-1'!O166)/O9,3)</f>
        <v>306.553</v>
      </c>
      <c r="P45" s="123">
        <f t="shared" si="2"/>
        <v>318.63796078373593</v>
      </c>
    </row>
    <row r="46" spans="2:16" ht="15.75" x14ac:dyDescent="0.25">
      <c r="B46" s="104"/>
      <c r="C46" s="102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24"/>
    </row>
    <row r="47" spans="2:16" ht="16.5" thickBot="1" x14ac:dyDescent="0.3">
      <c r="B47" s="15" t="s">
        <v>77</v>
      </c>
      <c r="C47" s="90" t="s">
        <v>32</v>
      </c>
      <c r="D47" s="141"/>
      <c r="E47" s="141"/>
      <c r="F47" s="141"/>
      <c r="G47" s="141"/>
      <c r="H47" s="141">
        <f>ROUND(('прилож_ДЦ-1'!H77*'прилож_ДЦ-1'!H87+'прилож_ДЦ-1'!H93*'прилож_ДЦ-1'!H116+'прилож_ДЦ-1'!H122*'прилож_ДЦ-1'!H143+'прилож_ДЦ-1'!H149*'прилож_ДЦ-1'!H168)/H9,2)</f>
        <v>58.07</v>
      </c>
      <c r="I47" s="141">
        <f>ROUND(('прилож_ДЦ-1'!I77*'прилож_ДЦ-1'!I87+'прилож_ДЦ-1'!I93*'прилож_ДЦ-1'!I116+'прилож_ДЦ-1'!I122*'прилож_ДЦ-1'!I143+'прилож_ДЦ-1'!I149*'прилож_ДЦ-1'!I168)/I9,2)</f>
        <v>58.29</v>
      </c>
      <c r="J47" s="141">
        <f>ROUND(('прилож_ДЦ-1'!J77*'прилож_ДЦ-1'!J87+'прилож_ДЦ-1'!J93*'прилож_ДЦ-1'!J116+'прилож_ДЦ-1'!J122*'прилож_ДЦ-1'!J143+'прилож_ДЦ-1'!J149*'прилож_ДЦ-1'!J168)/J9,2)</f>
        <v>59.47</v>
      </c>
      <c r="K47" s="141">
        <f>ROUND(('прилож_ДЦ-1'!K77*'прилож_ДЦ-1'!K87+'прилож_ДЦ-1'!K93*'прилож_ДЦ-1'!K116+'прилож_ДЦ-1'!K122*'прилож_ДЦ-1'!K143+'прилож_ДЦ-1'!K149*'прилож_ДЦ-1'!K168)/K9,2)</f>
        <v>59.39</v>
      </c>
      <c r="L47" s="141">
        <f>ROUND(('прилож_ДЦ-1'!L77*'прилож_ДЦ-1'!L87+'прилож_ДЦ-1'!L93*'прилож_ДЦ-1'!L116+'прилож_ДЦ-1'!L122*'прилож_ДЦ-1'!L143+'прилож_ДЦ-1'!L149*'прилож_ДЦ-1'!L168)/L9,2)</f>
        <v>59.46</v>
      </c>
      <c r="M47" s="141">
        <f>ROUND(('прилож_ДЦ-1'!M77*'прилож_ДЦ-1'!M87+'прилож_ДЦ-1'!M93*'прилож_ДЦ-1'!M116+'прилож_ДЦ-1'!M122*'прилож_ДЦ-1'!M143+'прилож_ДЦ-1'!M149*'прилож_ДЦ-1'!M168)/M9,2)</f>
        <v>59.41</v>
      </c>
      <c r="N47" s="141">
        <f>ROUND(('прилож_ДЦ-1'!N77*'прилож_ДЦ-1'!N87+'прилож_ДЦ-1'!N93*'прилож_ДЦ-1'!N116+'прилож_ДЦ-1'!N122*'прилож_ДЦ-1'!N143+'прилож_ДЦ-1'!N149*'прилож_ДЦ-1'!N168)/N9,2)</f>
        <v>59.43</v>
      </c>
      <c r="O47" s="141">
        <f>ROUND(('прилож_ДЦ-1'!O77*'прилож_ДЦ-1'!O87+'прилож_ДЦ-1'!O93*'прилож_ДЦ-1'!O116+'прилож_ДЦ-1'!O122*'прилож_ДЦ-1'!O143+'прилож_ДЦ-1'!O149*'прилож_ДЦ-1'!O168)/O9,2)</f>
        <v>59.44</v>
      </c>
      <c r="P47" s="142">
        <f>(D47*$D$9+E47*$E$9+F47*$F$9+G47*$G$9+H47*$H$9+I47*$I$9+J47*$J$9+K47*$K$9+L47*$L$9+M47*$M$9+N47*$N$9+O47*$O$9)/$P$9</f>
        <v>59.034576311137286</v>
      </c>
    </row>
    <row r="48" spans="2:16" ht="15.75" x14ac:dyDescent="0.25">
      <c r="B48" s="101" t="s">
        <v>78</v>
      </c>
      <c r="C48" s="102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6"/>
    </row>
    <row r="49" spans="2:16" ht="16.5" thickBot="1" x14ac:dyDescent="0.3">
      <c r="B49" s="73" t="s">
        <v>79</v>
      </c>
      <c r="C49" s="90" t="s">
        <v>32</v>
      </c>
      <c r="D49" s="117"/>
      <c r="E49" s="117"/>
      <c r="F49" s="117"/>
      <c r="G49" s="117"/>
      <c r="H49" s="117">
        <f>ROUND(('прилож_ДЦ-1'!H77*'прилож_ДЦ-1'!H89+'прилож_ДЦ-1'!H93*'прилож_ДЦ-1'!H118+'прилож_ДЦ-1'!H122*'прилож_ДЦ-1'!H145+'прилож_ДЦ-1'!H149*'прилож_ДЦ-1'!H170)/H9,2)</f>
        <v>58.07</v>
      </c>
      <c r="I49" s="117">
        <f>ROUND(('прилож_ДЦ-1'!I77*'прилож_ДЦ-1'!I89+'прилож_ДЦ-1'!I93*'прилож_ДЦ-1'!I118+'прилож_ДЦ-1'!I122*'прилож_ДЦ-1'!I145+'прилож_ДЦ-1'!I149*'прилож_ДЦ-1'!I170)/I9,2)</f>
        <v>58.29</v>
      </c>
      <c r="J49" s="117">
        <f>ROUND(('прилож_ДЦ-1'!J77*'прилож_ДЦ-1'!J89+'прилож_ДЦ-1'!J93*'прилож_ДЦ-1'!J118+'прилож_ДЦ-1'!J122*'прилож_ДЦ-1'!J145+'прилож_ДЦ-1'!J149*'прилож_ДЦ-1'!J170)/J9,2)</f>
        <v>59.47</v>
      </c>
      <c r="K49" s="117">
        <f>ROUND(('прилож_ДЦ-1'!K77*'прилож_ДЦ-1'!K89+'прилож_ДЦ-1'!K93*'прилож_ДЦ-1'!K118+'прилож_ДЦ-1'!K122*'прилож_ДЦ-1'!K145+'прилож_ДЦ-1'!K149*'прилож_ДЦ-1'!K170)/K9,2)</f>
        <v>59.39</v>
      </c>
      <c r="L49" s="117">
        <f>ROUND(('прилож_ДЦ-1'!L77*'прилож_ДЦ-1'!L89+'прилож_ДЦ-1'!L93*'прилож_ДЦ-1'!L118+'прилож_ДЦ-1'!L122*'прилож_ДЦ-1'!L145+'прилож_ДЦ-1'!L149*'прилож_ДЦ-1'!L170)/L9,2)</f>
        <v>59.46</v>
      </c>
      <c r="M49" s="117">
        <f>ROUND(('прилож_ДЦ-1'!M77*'прилож_ДЦ-1'!M89+'прилож_ДЦ-1'!M93*'прилож_ДЦ-1'!M118+'прилож_ДЦ-1'!M122*'прилож_ДЦ-1'!M145+'прилож_ДЦ-1'!M149*'прилож_ДЦ-1'!M170)/M9,2)</f>
        <v>59.41</v>
      </c>
      <c r="N49" s="117">
        <f>ROUND(('прилож_ДЦ-1'!N77*'прилож_ДЦ-1'!N89+'прилож_ДЦ-1'!N93*'прилож_ДЦ-1'!N118+'прилож_ДЦ-1'!N122*'прилож_ДЦ-1'!N145+'прилож_ДЦ-1'!N149*'прилож_ДЦ-1'!N170)/N9,2)</f>
        <v>59.43</v>
      </c>
      <c r="O49" s="117">
        <f>ROUND(('прилож_ДЦ-1'!O77*'прилож_ДЦ-1'!O89+'прилож_ДЦ-1'!O93*'прилож_ДЦ-1'!O118+'прилож_ДЦ-1'!O122*'прилож_ДЦ-1'!O145+'прилож_ДЦ-1'!O149*'прилож_ДЦ-1'!O170)/O9,2)</f>
        <v>59.44</v>
      </c>
      <c r="P49" s="118">
        <f>(D49*$D$9+E49*$E$9+F49*$F$9+G49*$G$9+H49*$H$9+I49*$I$9+J49*$J$9+K49*$K$9+L49*$L$9+M49*$M$9+N49*$N$9+O49*$O$9)/$P$9</f>
        <v>59.034576311137286</v>
      </c>
    </row>
    <row r="50" spans="2:16" ht="17.25" x14ac:dyDescent="0.3">
      <c r="B50" s="88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2:16" ht="15.75" x14ac:dyDescent="0.25">
      <c r="B51" s="43" t="s">
        <v>1</v>
      </c>
      <c r="C51" s="10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2:16" ht="15.75" x14ac:dyDescent="0.25">
      <c r="B52" s="25" t="s">
        <v>44</v>
      </c>
      <c r="C52" s="27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2:16" ht="15.75" x14ac:dyDescent="0.25">
      <c r="B53" s="25" t="s">
        <v>226</v>
      </c>
      <c r="C53" s="27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2:16" ht="15.75" x14ac:dyDescent="0.25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5"/>
    </row>
    <row r="55" spans="2:16" ht="15.75" x14ac:dyDescent="0.25">
      <c r="B55" s="25"/>
      <c r="C55" s="27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2:16" ht="16.5" thickBot="1" x14ac:dyDescent="0.3">
      <c r="B56" s="24"/>
      <c r="C56" s="86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4"/>
    </row>
    <row r="57" spans="2:16" ht="16.5" thickBot="1" x14ac:dyDescent="0.3">
      <c r="B57" s="29" t="s">
        <v>4</v>
      </c>
      <c r="C57" s="29" t="s">
        <v>5</v>
      </c>
      <c r="D57" s="30"/>
      <c r="E57" s="30"/>
      <c r="F57" s="30"/>
      <c r="G57" s="30"/>
      <c r="H57" s="30">
        <v>43952</v>
      </c>
      <c r="I57" s="30">
        <v>43983</v>
      </c>
      <c r="J57" s="30">
        <v>44013</v>
      </c>
      <c r="K57" s="30">
        <v>44044</v>
      </c>
      <c r="L57" s="30">
        <v>44075</v>
      </c>
      <c r="M57" s="30">
        <v>44105</v>
      </c>
      <c r="N57" s="30">
        <v>44136</v>
      </c>
      <c r="O57" s="30">
        <v>44166</v>
      </c>
      <c r="P57" s="6" t="s">
        <v>150</v>
      </c>
    </row>
    <row r="58" spans="2:16" ht="15.75" x14ac:dyDescent="0.25">
      <c r="B58" s="81" t="s">
        <v>45</v>
      </c>
      <c r="C58" s="31" t="s">
        <v>7</v>
      </c>
      <c r="D58" s="143"/>
      <c r="E58" s="143"/>
      <c r="F58" s="143"/>
      <c r="G58" s="143"/>
      <c r="H58" s="143">
        <f t="shared" ref="H58:I58" si="3">H107+H150</f>
        <v>577.10000000000014</v>
      </c>
      <c r="I58" s="143">
        <f t="shared" si="3"/>
        <v>616.20000000000005</v>
      </c>
      <c r="J58" s="143">
        <f t="shared" ref="J58:O58" si="4">J107+J150</f>
        <v>640.20000000000005</v>
      </c>
      <c r="K58" s="143">
        <f t="shared" si="4"/>
        <v>640.20000000000005</v>
      </c>
      <c r="L58" s="143">
        <f t="shared" si="4"/>
        <v>619.20000000000005</v>
      </c>
      <c r="M58" s="143">
        <f t="shared" si="4"/>
        <v>583.20000000000005</v>
      </c>
      <c r="N58" s="143">
        <f t="shared" si="4"/>
        <v>615.20000000000005</v>
      </c>
      <c r="O58" s="143">
        <f t="shared" si="4"/>
        <v>605.29999999999995</v>
      </c>
      <c r="P58" s="200">
        <f>SUM(D58:O58)</f>
        <v>4896.6000000000004</v>
      </c>
    </row>
    <row r="59" spans="2:16" ht="15.75" x14ac:dyDescent="0.25">
      <c r="B59" s="83" t="s">
        <v>46</v>
      </c>
      <c r="C59" s="35" t="s">
        <v>47</v>
      </c>
      <c r="D59" s="131"/>
      <c r="E59" s="131"/>
      <c r="F59" s="131"/>
      <c r="G59" s="131"/>
      <c r="H59" s="131">
        <f t="shared" ref="H59:I59" si="5">H108+H151</f>
        <v>20025.925925925934</v>
      </c>
      <c r="I59" s="131">
        <f t="shared" si="5"/>
        <v>20540</v>
      </c>
      <c r="J59" s="131">
        <f t="shared" ref="J59:O59" si="6">J108+J151</f>
        <v>20651.61290322581</v>
      </c>
      <c r="K59" s="131">
        <f t="shared" si="6"/>
        <v>20651.61290322581</v>
      </c>
      <c r="L59" s="131">
        <f t="shared" si="6"/>
        <v>21038.275862068971</v>
      </c>
      <c r="M59" s="131">
        <f t="shared" si="6"/>
        <v>19624.078341013832</v>
      </c>
      <c r="N59" s="131">
        <f t="shared" si="6"/>
        <v>20506.666666666672</v>
      </c>
      <c r="O59" s="131">
        <f t="shared" si="6"/>
        <v>20244.160177975529</v>
      </c>
      <c r="P59" s="132">
        <f>P108+P151</f>
        <v>18151.108428446008</v>
      </c>
    </row>
    <row r="60" spans="2:16" ht="15.75" x14ac:dyDescent="0.25">
      <c r="B60" s="34" t="s">
        <v>8</v>
      </c>
      <c r="C60" s="35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32"/>
    </row>
    <row r="61" spans="2:16" ht="15.75" x14ac:dyDescent="0.25">
      <c r="B61" s="34" t="s">
        <v>48</v>
      </c>
      <c r="C61" s="35" t="s">
        <v>10</v>
      </c>
      <c r="D61" s="131"/>
      <c r="E61" s="131"/>
      <c r="F61" s="131"/>
      <c r="G61" s="131"/>
      <c r="H61" s="131">
        <f t="shared" ref="H61:I61" si="7">ROUND((H110*H$107+H153*H$150)/H$58,3)</f>
        <v>1069.2460000000001</v>
      </c>
      <c r="I61" s="131">
        <f t="shared" si="7"/>
        <v>1042.557</v>
      </c>
      <c r="J61" s="131">
        <f t="shared" ref="J61:O61" si="8">ROUND((J110*J$107+J153*J$150)/J$58,3)</f>
        <v>1086.559</v>
      </c>
      <c r="K61" s="131">
        <f t="shared" si="8"/>
        <v>1084.1189999999999</v>
      </c>
      <c r="L61" s="131">
        <f t="shared" si="8"/>
        <v>1085.1189999999999</v>
      </c>
      <c r="M61" s="131">
        <f t="shared" si="8"/>
        <v>1083.402</v>
      </c>
      <c r="N61" s="131">
        <f t="shared" si="8"/>
        <v>1087.1089999999999</v>
      </c>
      <c r="O61" s="131">
        <f t="shared" si="8"/>
        <v>1082.8009999999999</v>
      </c>
      <c r="P61" s="132">
        <f t="shared" ref="P61:P71" si="9">(D61*$D$58+E61*$E$58+F61*$F$58+G61*$G$58+H61*$H$58+I61*$I$58+J61*$J$58+K61*$K$58+L61*$L$58+M61*$M$58+N61*$N$58+O61*$O$58)/$P$58</f>
        <v>1077.708650675979</v>
      </c>
    </row>
    <row r="62" spans="2:16" ht="15.75" x14ac:dyDescent="0.25">
      <c r="B62" s="34" t="s">
        <v>49</v>
      </c>
      <c r="C62" s="35" t="s">
        <v>10</v>
      </c>
      <c r="D62" s="131"/>
      <c r="E62" s="131"/>
      <c r="F62" s="131"/>
      <c r="G62" s="131"/>
      <c r="H62" s="131">
        <f t="shared" ref="H62:I62" si="10">ROUND((H111*H$107+H154*H$150)/H$58,3)</f>
        <v>0</v>
      </c>
      <c r="I62" s="131">
        <f t="shared" si="10"/>
        <v>0</v>
      </c>
      <c r="J62" s="131">
        <f t="shared" ref="J62:O62" si="11">ROUND((J111*J$107+J154*J$150)/J$58,3)</f>
        <v>0</v>
      </c>
      <c r="K62" s="131">
        <f t="shared" si="11"/>
        <v>0</v>
      </c>
      <c r="L62" s="131">
        <f t="shared" si="11"/>
        <v>0</v>
      </c>
      <c r="M62" s="131">
        <f t="shared" si="11"/>
        <v>0</v>
      </c>
      <c r="N62" s="131">
        <f t="shared" si="11"/>
        <v>0</v>
      </c>
      <c r="O62" s="131">
        <f t="shared" si="11"/>
        <v>0</v>
      </c>
      <c r="P62" s="132">
        <f t="shared" si="9"/>
        <v>0</v>
      </c>
    </row>
    <row r="63" spans="2:16" ht="15.75" x14ac:dyDescent="0.25">
      <c r="B63" s="34" t="s">
        <v>50</v>
      </c>
      <c r="C63" s="35" t="s">
        <v>10</v>
      </c>
      <c r="D63" s="131"/>
      <c r="E63" s="131"/>
      <c r="F63" s="131"/>
      <c r="G63" s="131"/>
      <c r="H63" s="131">
        <f t="shared" ref="H63:I63" si="12">ROUND((H112*H$107)/H$58,0)</f>
        <v>0</v>
      </c>
      <c r="I63" s="131">
        <f t="shared" si="12"/>
        <v>0</v>
      </c>
      <c r="J63" s="131">
        <f t="shared" ref="J63:O63" si="13">ROUND((J112*J$107)/J$58,0)</f>
        <v>0</v>
      </c>
      <c r="K63" s="131">
        <f t="shared" si="13"/>
        <v>0</v>
      </c>
      <c r="L63" s="131">
        <f t="shared" si="13"/>
        <v>0</v>
      </c>
      <c r="M63" s="131">
        <f t="shared" si="13"/>
        <v>0</v>
      </c>
      <c r="N63" s="131">
        <f t="shared" si="13"/>
        <v>0</v>
      </c>
      <c r="O63" s="131">
        <f t="shared" si="13"/>
        <v>0</v>
      </c>
      <c r="P63" s="132">
        <f t="shared" si="9"/>
        <v>0</v>
      </c>
    </row>
    <row r="64" spans="2:16" ht="15.75" x14ac:dyDescent="0.25">
      <c r="B64" s="34" t="s">
        <v>51</v>
      </c>
      <c r="C64" s="35" t="s">
        <v>10</v>
      </c>
      <c r="D64" s="131"/>
      <c r="E64" s="131"/>
      <c r="F64" s="131"/>
      <c r="G64" s="131"/>
      <c r="H64" s="131">
        <f t="shared" ref="H64:I64" si="14">ROUND((H113*H$107+H155*H$150)/H$58,3)</f>
        <v>5.9550000000000001</v>
      </c>
      <c r="I64" s="131">
        <f t="shared" si="14"/>
        <v>10</v>
      </c>
      <c r="J64" s="131">
        <f t="shared" ref="J64:O64" si="15">ROUND((J113*J$107+J155*J$150)/J$58,3)</f>
        <v>8</v>
      </c>
      <c r="K64" s="131">
        <f t="shared" si="15"/>
        <v>8</v>
      </c>
      <c r="L64" s="131">
        <f t="shared" si="15"/>
        <v>8</v>
      </c>
      <c r="M64" s="131">
        <f t="shared" si="15"/>
        <v>5.9880000000000004</v>
      </c>
      <c r="N64" s="131">
        <f t="shared" si="15"/>
        <v>8</v>
      </c>
      <c r="O64" s="131">
        <f t="shared" si="15"/>
        <v>5.3330000000000002</v>
      </c>
      <c r="P64" s="132">
        <f t="shared" si="9"/>
        <v>7.441346444471673</v>
      </c>
    </row>
    <row r="65" spans="2:16" ht="15.75" x14ac:dyDescent="0.25">
      <c r="B65" s="34" t="s">
        <v>109</v>
      </c>
      <c r="C65" s="35" t="s">
        <v>10</v>
      </c>
      <c r="D65" s="131"/>
      <c r="E65" s="131"/>
      <c r="F65" s="131"/>
      <c r="G65" s="131"/>
      <c r="H65" s="131">
        <f t="shared" ref="H65:I65" si="16">ROUND((H114*H$107+H156*H$150)/H$58,3)</f>
        <v>2.556</v>
      </c>
      <c r="I65" s="131">
        <f t="shared" si="16"/>
        <v>0</v>
      </c>
      <c r="J65" s="131">
        <f t="shared" ref="J65:O65" si="17">ROUND((J114*J$107+J156*J$150)/J$58,3)</f>
        <v>0</v>
      </c>
      <c r="K65" s="131">
        <f t="shared" si="17"/>
        <v>0</v>
      </c>
      <c r="L65" s="131">
        <f t="shared" si="17"/>
        <v>0</v>
      </c>
      <c r="M65" s="131">
        <f t="shared" si="17"/>
        <v>2.012</v>
      </c>
      <c r="N65" s="131">
        <f t="shared" si="17"/>
        <v>0</v>
      </c>
      <c r="O65" s="131">
        <f t="shared" si="17"/>
        <v>2.6669999999999998</v>
      </c>
      <c r="P65" s="132">
        <f t="shared" ref="P65" si="18">(D65*$D$58+E65*$E$58+F65*$F$58+G65*$G$58+H65*$H$58+I65*$I$58+J65*$J$58+K65*$K$58+L65*$L$58+M65*$M$58+N65*$N$58+O65*$O$58)/$P$58</f>
        <v>0.8705634726136503</v>
      </c>
    </row>
    <row r="66" spans="2:16" ht="15.75" x14ac:dyDescent="0.25">
      <c r="B66" s="34" t="s">
        <v>52</v>
      </c>
      <c r="C66" s="35" t="s">
        <v>10</v>
      </c>
      <c r="D66" s="131"/>
      <c r="E66" s="131"/>
      <c r="F66" s="131"/>
      <c r="G66" s="131"/>
      <c r="H66" s="131">
        <f t="shared" ref="H66:I66" si="19">ROUND((H115*H$107+H157*H$150)/H$58,3)</f>
        <v>0</v>
      </c>
      <c r="I66" s="131">
        <f t="shared" si="19"/>
        <v>0</v>
      </c>
      <c r="J66" s="131">
        <f t="shared" ref="J66:O66" si="20">ROUND((J115*J$107+J157*J$150)/J$58,3)</f>
        <v>0</v>
      </c>
      <c r="K66" s="131">
        <f t="shared" si="20"/>
        <v>0</v>
      </c>
      <c r="L66" s="131">
        <f t="shared" si="20"/>
        <v>0</v>
      </c>
      <c r="M66" s="131">
        <f t="shared" si="20"/>
        <v>0</v>
      </c>
      <c r="N66" s="131">
        <f t="shared" si="20"/>
        <v>0</v>
      </c>
      <c r="O66" s="131">
        <f t="shared" si="20"/>
        <v>0</v>
      </c>
      <c r="P66" s="132">
        <f t="shared" si="9"/>
        <v>0</v>
      </c>
    </row>
    <row r="67" spans="2:16" ht="15.75" x14ac:dyDescent="0.25">
      <c r="B67" s="34" t="s">
        <v>53</v>
      </c>
      <c r="C67" s="35" t="s">
        <v>10</v>
      </c>
      <c r="D67" s="131"/>
      <c r="E67" s="131"/>
      <c r="F67" s="131"/>
      <c r="G67" s="131"/>
      <c r="H67" s="131">
        <f t="shared" ref="H67:I67" si="21">ROUND((H116*H$107+H158*H$150)/H$58,3)</f>
        <v>0</v>
      </c>
      <c r="I67" s="131">
        <f t="shared" si="21"/>
        <v>0</v>
      </c>
      <c r="J67" s="131">
        <f t="shared" ref="J67:O67" si="22">ROUND((J116*J$107+J158*J$150)/J$58,3)</f>
        <v>0</v>
      </c>
      <c r="K67" s="131">
        <f t="shared" si="22"/>
        <v>0</v>
      </c>
      <c r="L67" s="131">
        <f t="shared" si="22"/>
        <v>0</v>
      </c>
      <c r="M67" s="131">
        <f t="shared" si="22"/>
        <v>0</v>
      </c>
      <c r="N67" s="131">
        <f t="shared" si="22"/>
        <v>0</v>
      </c>
      <c r="O67" s="131">
        <f t="shared" si="22"/>
        <v>0</v>
      </c>
      <c r="P67" s="132">
        <f t="shared" si="9"/>
        <v>0</v>
      </c>
    </row>
    <row r="68" spans="2:16" ht="15.75" x14ac:dyDescent="0.25">
      <c r="B68" s="34" t="s">
        <v>54</v>
      </c>
      <c r="C68" s="35" t="s">
        <v>10</v>
      </c>
      <c r="D68" s="131"/>
      <c r="E68" s="131"/>
      <c r="F68" s="131"/>
      <c r="G68" s="131"/>
      <c r="H68" s="131">
        <f t="shared" ref="H68:I68" si="23">ROUND((H117*H$107+H159*H$150)/H$58,3)</f>
        <v>0</v>
      </c>
      <c r="I68" s="131">
        <f t="shared" si="23"/>
        <v>0</v>
      </c>
      <c r="J68" s="131">
        <f t="shared" ref="J68:O68" si="24">ROUND((J117*J$107+J159*J$150)/J$58,3)</f>
        <v>0</v>
      </c>
      <c r="K68" s="131">
        <f t="shared" si="24"/>
        <v>0</v>
      </c>
      <c r="L68" s="131">
        <f t="shared" si="24"/>
        <v>0</v>
      </c>
      <c r="M68" s="131">
        <f t="shared" si="24"/>
        <v>0</v>
      </c>
      <c r="N68" s="131">
        <f t="shared" si="24"/>
        <v>0</v>
      </c>
      <c r="O68" s="131">
        <f t="shared" si="24"/>
        <v>0</v>
      </c>
      <c r="P68" s="132">
        <f t="shared" si="9"/>
        <v>0</v>
      </c>
    </row>
    <row r="69" spans="2:16" ht="15.75" x14ac:dyDescent="0.25">
      <c r="B69" s="34" t="s">
        <v>55</v>
      </c>
      <c r="C69" s="35" t="s">
        <v>10</v>
      </c>
      <c r="D69" s="131"/>
      <c r="E69" s="131"/>
      <c r="F69" s="131"/>
      <c r="G69" s="131"/>
      <c r="H69" s="131">
        <f t="shared" ref="H69:I69" si="25">ROUND((H118*H$107+H160*H$150)/H$58,3)</f>
        <v>555.24599999999998</v>
      </c>
      <c r="I69" s="131">
        <f t="shared" si="25"/>
        <v>549</v>
      </c>
      <c r="J69" s="131">
        <f t="shared" ref="J69:O69" si="26">ROUND((J118*J$107+J160*J$150)/J$58,3)</f>
        <v>474.44099999999997</v>
      </c>
      <c r="K69" s="131">
        <f t="shared" si="26"/>
        <v>479.44099999999997</v>
      </c>
      <c r="L69" s="131">
        <f t="shared" si="26"/>
        <v>474.88099999999997</v>
      </c>
      <c r="M69" s="131">
        <f t="shared" si="26"/>
        <v>478.85399999999998</v>
      </c>
      <c r="N69" s="131">
        <f t="shared" si="26"/>
        <v>473.89100000000002</v>
      </c>
      <c r="O69" s="131">
        <f t="shared" si="26"/>
        <v>478.73599999999999</v>
      </c>
      <c r="P69" s="132">
        <f t="shared" si="9"/>
        <v>495.04393558795903</v>
      </c>
    </row>
    <row r="70" spans="2:16" ht="15.75" x14ac:dyDescent="0.25">
      <c r="B70" s="34" t="s">
        <v>80</v>
      </c>
      <c r="C70" s="35" t="s">
        <v>10</v>
      </c>
      <c r="D70" s="131"/>
      <c r="E70" s="131"/>
      <c r="F70" s="131"/>
      <c r="G70" s="131"/>
      <c r="H70" s="131">
        <f t="shared" ref="H70:I70" si="27">ROUND((H119*H$107+H161*H$150)/H$58,3)</f>
        <v>0</v>
      </c>
      <c r="I70" s="131">
        <f t="shared" si="27"/>
        <v>0</v>
      </c>
      <c r="J70" s="131">
        <f t="shared" ref="J70:O70" si="28">ROUND((J119*J$107+J161*J$150)/J$58,3)</f>
        <v>0</v>
      </c>
      <c r="K70" s="131">
        <f t="shared" si="28"/>
        <v>0</v>
      </c>
      <c r="L70" s="131">
        <f t="shared" si="28"/>
        <v>0</v>
      </c>
      <c r="M70" s="131">
        <f t="shared" si="28"/>
        <v>0</v>
      </c>
      <c r="N70" s="131">
        <f t="shared" si="28"/>
        <v>0</v>
      </c>
      <c r="O70" s="131">
        <f t="shared" si="28"/>
        <v>0</v>
      </c>
      <c r="P70" s="132">
        <f t="shared" si="9"/>
        <v>0</v>
      </c>
    </row>
    <row r="71" spans="2:16" ht="15.75" x14ac:dyDescent="0.25">
      <c r="B71" s="34" t="s">
        <v>57</v>
      </c>
      <c r="C71" s="35" t="s">
        <v>10</v>
      </c>
      <c r="D71" s="131"/>
      <c r="E71" s="131"/>
      <c r="F71" s="131"/>
      <c r="G71" s="131"/>
      <c r="H71" s="131">
        <f t="shared" ref="H71:I71" si="29">ROUND((H120*H$107+H162*H$150)/H$58,3)</f>
        <v>28.352</v>
      </c>
      <c r="I71" s="131">
        <f t="shared" si="29"/>
        <v>57.442999999999998</v>
      </c>
      <c r="J71" s="131">
        <f t="shared" ref="J71:O71" si="30">ROUND((J120*J$107+J162*J$150)/J$58,3)</f>
        <v>56</v>
      </c>
      <c r="K71" s="131">
        <f t="shared" si="30"/>
        <v>56</v>
      </c>
      <c r="L71" s="131">
        <f t="shared" si="30"/>
        <v>58</v>
      </c>
      <c r="M71" s="131">
        <f t="shared" si="30"/>
        <v>53.524999999999999</v>
      </c>
      <c r="N71" s="131">
        <f t="shared" si="30"/>
        <v>58</v>
      </c>
      <c r="O71" s="131">
        <f t="shared" si="30"/>
        <v>53.661999999999999</v>
      </c>
      <c r="P71" s="132">
        <f t="shared" si="9"/>
        <v>52.843463709512733</v>
      </c>
    </row>
    <row r="72" spans="2:16" ht="15.75" x14ac:dyDescent="0.25">
      <c r="B72" s="39" t="s">
        <v>58</v>
      </c>
      <c r="C72" s="40" t="s">
        <v>10</v>
      </c>
      <c r="D72" s="134"/>
      <c r="E72" s="134"/>
      <c r="F72" s="134"/>
      <c r="G72" s="134"/>
      <c r="H72" s="134">
        <f t="shared" ref="H72:I72" si="31">SUM(H61:H71)</f>
        <v>1661.3550000000002</v>
      </c>
      <c r="I72" s="134">
        <f t="shared" si="31"/>
        <v>1659</v>
      </c>
      <c r="J72" s="134">
        <f t="shared" ref="J72:O72" si="32">SUM(J61:J71)</f>
        <v>1625</v>
      </c>
      <c r="K72" s="134">
        <f t="shared" si="32"/>
        <v>1627.56</v>
      </c>
      <c r="L72" s="134">
        <f t="shared" si="32"/>
        <v>1626</v>
      </c>
      <c r="M72" s="134">
        <f t="shared" si="32"/>
        <v>1623.7810000000002</v>
      </c>
      <c r="N72" s="134">
        <f t="shared" si="32"/>
        <v>1627</v>
      </c>
      <c r="O72" s="134">
        <f t="shared" si="32"/>
        <v>1623.1989999999998</v>
      </c>
      <c r="P72" s="135">
        <f>SUM(P61:P71)</f>
        <v>1633.9079598905362</v>
      </c>
    </row>
    <row r="73" spans="2:16" ht="15.75" x14ac:dyDescent="0.25">
      <c r="B73" s="34" t="s">
        <v>59</v>
      </c>
      <c r="C73" s="35" t="s">
        <v>10</v>
      </c>
      <c r="D73" s="131"/>
      <c r="E73" s="131"/>
      <c r="F73" s="131"/>
      <c r="G73" s="131"/>
      <c r="H73" s="131">
        <f t="shared" ref="H73:I73" si="33">ROUND((H122*H$107+H164*H$150)/H$58,3)</f>
        <v>0</v>
      </c>
      <c r="I73" s="131">
        <f t="shared" si="33"/>
        <v>0</v>
      </c>
      <c r="J73" s="131">
        <f t="shared" ref="J73:O73" si="34">ROUND((J122*J$107+J164*J$150)/J$58,3)</f>
        <v>0</v>
      </c>
      <c r="K73" s="131">
        <f t="shared" si="34"/>
        <v>0</v>
      </c>
      <c r="L73" s="131">
        <f t="shared" si="34"/>
        <v>0</v>
      </c>
      <c r="M73" s="131">
        <f t="shared" si="34"/>
        <v>0</v>
      </c>
      <c r="N73" s="131">
        <f t="shared" si="34"/>
        <v>0</v>
      </c>
      <c r="O73" s="131">
        <f t="shared" si="34"/>
        <v>0</v>
      </c>
      <c r="P73" s="132">
        <f t="shared" ref="P73:P91" si="35">(D73*$D$58+E73*$E$58+F73*$F$58+G73*$G$58+H73*$H$58+I73*$I$58+J73*$J$58+K73*$K$58+L73*$L$58+M73*$M$58+N73*$N$58+O73*$O$58)/$P$58</f>
        <v>0</v>
      </c>
    </row>
    <row r="74" spans="2:16" ht="15.75" x14ac:dyDescent="0.25">
      <c r="B74" s="34" t="s">
        <v>60</v>
      </c>
      <c r="C74" s="35" t="s">
        <v>10</v>
      </c>
      <c r="D74" s="131"/>
      <c r="E74" s="131"/>
      <c r="F74" s="131"/>
      <c r="G74" s="131"/>
      <c r="H74" s="131">
        <f t="shared" ref="H74:I74" si="36">ROUND((H123*H$107)/H$58,3)</f>
        <v>0</v>
      </c>
      <c r="I74" s="131">
        <f t="shared" si="36"/>
        <v>0</v>
      </c>
      <c r="J74" s="131">
        <f t="shared" ref="J74:O74" si="37">ROUND((J123*J$107)/J$58,3)</f>
        <v>0</v>
      </c>
      <c r="K74" s="131">
        <f t="shared" si="37"/>
        <v>0</v>
      </c>
      <c r="L74" s="131">
        <f t="shared" si="37"/>
        <v>0</v>
      </c>
      <c r="M74" s="131">
        <f t="shared" si="37"/>
        <v>0</v>
      </c>
      <c r="N74" s="131">
        <f t="shared" si="37"/>
        <v>0</v>
      </c>
      <c r="O74" s="131">
        <f t="shared" si="37"/>
        <v>0</v>
      </c>
      <c r="P74" s="132">
        <f t="shared" si="35"/>
        <v>0</v>
      </c>
    </row>
    <row r="75" spans="2:16" ht="15.75" hidden="1" outlineLevel="1" x14ac:dyDescent="0.25">
      <c r="B75" s="39" t="s">
        <v>162</v>
      </c>
      <c r="C75" s="40" t="s">
        <v>10</v>
      </c>
      <c r="D75" s="134"/>
      <c r="E75" s="134"/>
      <c r="F75" s="134"/>
      <c r="G75" s="134"/>
      <c r="H75" s="134">
        <f t="shared" ref="H75:I75" si="38">ROUND((H124*H$107+H165*H$150)/H$58,3)</f>
        <v>331.20100000000002</v>
      </c>
      <c r="I75" s="134">
        <f t="shared" si="38"/>
        <v>322</v>
      </c>
      <c r="J75" s="134">
        <f t="shared" ref="J75:O75" si="39">ROUND((J124*J$107+J165*J$150)/J$58,3)</f>
        <v>316.88099999999997</v>
      </c>
      <c r="K75" s="134">
        <f t="shared" si="39"/>
        <v>324.71199999999999</v>
      </c>
      <c r="L75" s="134">
        <f t="shared" si="39"/>
        <v>316.88099999999997</v>
      </c>
      <c r="M75" s="134">
        <f t="shared" si="39"/>
        <v>326.06099999999998</v>
      </c>
      <c r="N75" s="134">
        <f t="shared" si="39"/>
        <v>316.89100000000002</v>
      </c>
      <c r="O75" s="134">
        <f t="shared" si="39"/>
        <v>320.73399999999998</v>
      </c>
      <c r="P75" s="135">
        <f>(D75*$D$58+E75*$E$58+F75*$F$58+G75*$G$58+H75*$H$58+I75*$I$58+J75*$J$58+K75*$K$58+L75*$L$58+M75*$M$58+N75*$N$58+O75*$O$58)/$P$58</f>
        <v>321.80767461095451</v>
      </c>
    </row>
    <row r="76" spans="2:16" ht="15.75" hidden="1" outlineLevel="1" x14ac:dyDescent="0.25">
      <c r="B76" s="34" t="s">
        <v>62</v>
      </c>
      <c r="C76" s="35" t="s">
        <v>10</v>
      </c>
      <c r="D76" s="131"/>
      <c r="E76" s="131"/>
      <c r="F76" s="131"/>
      <c r="G76" s="131"/>
      <c r="H76" s="131">
        <f t="shared" ref="H76:I76" si="40">ROUND((H125*H$107+H166*H$150)/H$58,3)</f>
        <v>19.888000000000002</v>
      </c>
      <c r="I76" s="131">
        <f t="shared" si="40"/>
        <v>25.407</v>
      </c>
      <c r="J76" s="131">
        <f t="shared" ref="J76:O76" si="41">ROUND((J125*J$107+J166*J$150)/J$58,3)</f>
        <v>24.047999999999998</v>
      </c>
      <c r="K76" s="131">
        <f t="shared" si="41"/>
        <v>25.149000000000001</v>
      </c>
      <c r="L76" s="131">
        <f t="shared" si="41"/>
        <v>23.873000000000001</v>
      </c>
      <c r="M76" s="131">
        <f t="shared" si="41"/>
        <v>24.975999999999999</v>
      </c>
      <c r="N76" s="131">
        <f t="shared" si="41"/>
        <v>22.146999999999998</v>
      </c>
      <c r="O76" s="131">
        <f t="shared" si="41"/>
        <v>19.664999999999999</v>
      </c>
      <c r="P76" s="132">
        <f t="shared" ref="P76:P83" si="42">(D76*$D$58+E76*$E$58+F76*$F$58+G76*$G$58+H76*$H$58+I76*$I$58+J76*$J$58+K76*$K$58+L76*$L$58+M76*$M$58+N76*$N$58+O76*$O$58)/$P$58</f>
        <v>23.180431585181555</v>
      </c>
    </row>
    <row r="77" spans="2:16" ht="15.75" hidden="1" outlineLevel="1" x14ac:dyDescent="0.25">
      <c r="B77" s="34" t="s">
        <v>63</v>
      </c>
      <c r="C77" s="35" t="s">
        <v>10</v>
      </c>
      <c r="D77" s="131"/>
      <c r="E77" s="131"/>
      <c r="F77" s="131"/>
      <c r="G77" s="131"/>
      <c r="H77" s="131">
        <f t="shared" ref="H77:I77" si="43">ROUND((H126*H$107+H167*H$150)/H$58,3)</f>
        <v>0</v>
      </c>
      <c r="I77" s="131">
        <f t="shared" si="43"/>
        <v>0</v>
      </c>
      <c r="J77" s="131">
        <f t="shared" ref="J77:O77" si="44">ROUND((J126*J$107+J167*J$150)/J$58,3)</f>
        <v>0</v>
      </c>
      <c r="K77" s="131">
        <f t="shared" si="44"/>
        <v>0</v>
      </c>
      <c r="L77" s="131">
        <f t="shared" si="44"/>
        <v>0</v>
      </c>
      <c r="M77" s="131">
        <f t="shared" si="44"/>
        <v>0</v>
      </c>
      <c r="N77" s="131">
        <f t="shared" si="44"/>
        <v>0</v>
      </c>
      <c r="O77" s="131">
        <f t="shared" si="44"/>
        <v>0</v>
      </c>
      <c r="P77" s="132">
        <f t="shared" si="42"/>
        <v>0</v>
      </c>
    </row>
    <row r="78" spans="2:16" ht="47.25" hidden="1" outlineLevel="1" x14ac:dyDescent="0.25">
      <c r="B78" s="36" t="s">
        <v>64</v>
      </c>
      <c r="C78" s="35" t="s">
        <v>10</v>
      </c>
      <c r="D78" s="131"/>
      <c r="E78" s="131"/>
      <c r="F78" s="131"/>
      <c r="G78" s="131"/>
      <c r="H78" s="131">
        <f t="shared" ref="H78:I78" si="45">ROUND(H127*H107/H58,3)</f>
        <v>0</v>
      </c>
      <c r="I78" s="131">
        <f t="shared" si="45"/>
        <v>0</v>
      </c>
      <c r="J78" s="131">
        <f t="shared" ref="J78:O78" si="46">ROUND(J127*J107/J58,3)</f>
        <v>0</v>
      </c>
      <c r="K78" s="131">
        <f t="shared" si="46"/>
        <v>0</v>
      </c>
      <c r="L78" s="131">
        <f t="shared" si="46"/>
        <v>0</v>
      </c>
      <c r="M78" s="131">
        <f t="shared" si="46"/>
        <v>0</v>
      </c>
      <c r="N78" s="131">
        <f t="shared" si="46"/>
        <v>0</v>
      </c>
      <c r="O78" s="131">
        <f t="shared" si="46"/>
        <v>0</v>
      </c>
      <c r="P78" s="132">
        <f t="shared" si="42"/>
        <v>0</v>
      </c>
    </row>
    <row r="79" spans="2:16" ht="15.75" hidden="1" outlineLevel="1" x14ac:dyDescent="0.25">
      <c r="B79" s="34" t="s">
        <v>65</v>
      </c>
      <c r="C79" s="35" t="s">
        <v>10</v>
      </c>
      <c r="D79" s="131"/>
      <c r="E79" s="131"/>
      <c r="F79" s="131"/>
      <c r="G79" s="131"/>
      <c r="H79" s="131">
        <f t="shared" ref="H79:I79" si="47">ROUND(((H168*H150+H107*H128)/H58),3)</f>
        <v>0</v>
      </c>
      <c r="I79" s="131">
        <f t="shared" si="47"/>
        <v>0</v>
      </c>
      <c r="J79" s="131">
        <f t="shared" ref="J79:O79" si="48">ROUND(((J168*J150+J107*J128)/J58),3)</f>
        <v>0</v>
      </c>
      <c r="K79" s="131">
        <f t="shared" si="48"/>
        <v>0</v>
      </c>
      <c r="L79" s="131">
        <f t="shared" si="48"/>
        <v>0</v>
      </c>
      <c r="M79" s="131">
        <f t="shared" si="48"/>
        <v>0</v>
      </c>
      <c r="N79" s="131">
        <f t="shared" si="48"/>
        <v>0</v>
      </c>
      <c r="O79" s="131">
        <f t="shared" si="48"/>
        <v>0</v>
      </c>
      <c r="P79" s="132">
        <f t="shared" si="42"/>
        <v>0</v>
      </c>
    </row>
    <row r="80" spans="2:16" ht="15.75" hidden="1" outlineLevel="1" x14ac:dyDescent="0.25">
      <c r="B80" s="34" t="s">
        <v>143</v>
      </c>
      <c r="C80" s="35" t="s">
        <v>10</v>
      </c>
      <c r="D80" s="131"/>
      <c r="E80" s="131"/>
      <c r="F80" s="131"/>
      <c r="G80" s="131"/>
      <c r="H80" s="131">
        <f t="shared" ref="H80:I80" si="49">ROUND((H129*H$107+H169*H$150)/H$58,3)</f>
        <v>64.069999999999993</v>
      </c>
      <c r="I80" s="131">
        <f t="shared" si="49"/>
        <v>61.97</v>
      </c>
      <c r="J80" s="131">
        <f t="shared" ref="J80:O80" si="50">ROUND((J129*J$107+J169*J$150)/J$58,3)</f>
        <v>60.933999999999997</v>
      </c>
      <c r="K80" s="131">
        <f t="shared" si="50"/>
        <v>63.170999999999999</v>
      </c>
      <c r="L80" s="131">
        <f t="shared" si="50"/>
        <v>60.942999999999998</v>
      </c>
      <c r="M80" s="131">
        <f t="shared" si="50"/>
        <v>63.707000000000001</v>
      </c>
      <c r="N80" s="131">
        <f t="shared" si="50"/>
        <v>61.28</v>
      </c>
      <c r="O80" s="131">
        <f t="shared" si="50"/>
        <v>62.606000000000002</v>
      </c>
      <c r="P80" s="132">
        <f>(D80*$D$58+E80*$E$58+F80*$F$58+G80*$G$58+H80*$H$58+I80*$I$58+J80*$J$58+K80*$K$58+L80*$L$58+M80*$M$58+N80*$N$58+O80*$O$58)/$P$58</f>
        <v>62.308015316750406</v>
      </c>
    </row>
    <row r="81" spans="2:16" ht="15.75" hidden="1" outlineLevel="1" x14ac:dyDescent="0.25">
      <c r="B81" s="34" t="s">
        <v>62</v>
      </c>
      <c r="C81" s="35" t="s">
        <v>10</v>
      </c>
      <c r="D81" s="131"/>
      <c r="E81" s="131"/>
      <c r="F81" s="131"/>
      <c r="G81" s="131"/>
      <c r="H81" s="131">
        <f t="shared" ref="H81:I81" si="51">ROUND((H130*H$107+H170*H$150)/H$58,3)</f>
        <v>24.9</v>
      </c>
      <c r="I81" s="131">
        <f t="shared" si="51"/>
        <v>25.29</v>
      </c>
      <c r="J81" s="131">
        <f t="shared" ref="J81:O81" si="52">ROUND((J130*J$107+J170*J$150)/J$58,3)</f>
        <v>24.024000000000001</v>
      </c>
      <c r="K81" s="131">
        <f t="shared" si="52"/>
        <v>25.123000000000001</v>
      </c>
      <c r="L81" s="131">
        <f t="shared" si="52"/>
        <v>24.11</v>
      </c>
      <c r="M81" s="131">
        <f t="shared" si="52"/>
        <v>25.503</v>
      </c>
      <c r="N81" s="131">
        <f t="shared" si="52"/>
        <v>22.1</v>
      </c>
      <c r="O81" s="131">
        <f t="shared" si="52"/>
        <v>23.311</v>
      </c>
      <c r="P81" s="132">
        <f t="shared" si="42"/>
        <v>24.287409079769638</v>
      </c>
    </row>
    <row r="82" spans="2:16" ht="15.75" hidden="1" outlineLevel="1" x14ac:dyDescent="0.25">
      <c r="B82" s="39" t="s">
        <v>147</v>
      </c>
      <c r="C82" s="40" t="s">
        <v>10</v>
      </c>
      <c r="D82" s="134"/>
      <c r="E82" s="134"/>
      <c r="F82" s="134"/>
      <c r="G82" s="134"/>
      <c r="H82" s="134">
        <f t="shared" ref="H82:I82" si="53">ROUND((H131*H$107+H171*H$150)/H$58,3)</f>
        <v>124.399</v>
      </c>
      <c r="I82" s="134">
        <f t="shared" si="53"/>
        <v>123.983</v>
      </c>
      <c r="J82" s="134">
        <f t="shared" ref="J82:O82" si="54">ROUND((J131*J$107+J171*J$150)/J$58,3)</f>
        <v>129.559</v>
      </c>
      <c r="K82" s="134">
        <f t="shared" si="54"/>
        <v>121.72799999999999</v>
      </c>
      <c r="L82" s="134">
        <f t="shared" si="54"/>
        <v>129.56</v>
      </c>
      <c r="M82" s="134">
        <f t="shared" si="54"/>
        <v>120.744</v>
      </c>
      <c r="N82" s="134">
        <f t="shared" si="54"/>
        <v>129.554</v>
      </c>
      <c r="O82" s="134">
        <f t="shared" si="54"/>
        <v>118.331</v>
      </c>
      <c r="P82" s="135">
        <f>(D82*$D$58+E82*$E$58+F82*$F$58+G82*$G$58+H82*$H$58+I82*$I$58+J82*$J$58+K82*$K$58+L82*$L$58+M82*$M$58+N82*$N$58+O82*$O$58)/$P$58</f>
        <v>124.78694457378592</v>
      </c>
    </row>
    <row r="83" spans="2:16" ht="18" hidden="1" outlineLevel="1" x14ac:dyDescent="0.25">
      <c r="B83" s="39" t="s">
        <v>145</v>
      </c>
      <c r="C83" s="40" t="s">
        <v>68</v>
      </c>
      <c r="D83" s="134"/>
      <c r="E83" s="134"/>
      <c r="F83" s="134"/>
      <c r="G83" s="134"/>
      <c r="H83" s="134">
        <f t="shared" ref="H83:I83" si="55">ROUND((H132*H$107+H172*H$150)/H$58,3)</f>
        <v>58.533999999999999</v>
      </c>
      <c r="I83" s="134">
        <f t="shared" si="55"/>
        <v>58.671999999999997</v>
      </c>
      <c r="J83" s="134">
        <f t="shared" ref="J83:O83" si="56">ROUND((J132*J$107+J172*J$150)/J$58,3)</f>
        <v>57</v>
      </c>
      <c r="K83" s="134">
        <f t="shared" si="56"/>
        <v>59.237000000000002</v>
      </c>
      <c r="L83" s="134">
        <f t="shared" si="56"/>
        <v>57</v>
      </c>
      <c r="M83" s="134">
        <f t="shared" si="56"/>
        <v>59.012</v>
      </c>
      <c r="N83" s="134">
        <f t="shared" si="56"/>
        <v>57</v>
      </c>
      <c r="O83" s="134">
        <f t="shared" si="56"/>
        <v>59.134</v>
      </c>
      <c r="P83" s="135">
        <f t="shared" si="42"/>
        <v>58.187108156680139</v>
      </c>
    </row>
    <row r="84" spans="2:16" ht="18" hidden="1" outlineLevel="1" x14ac:dyDescent="0.25">
      <c r="B84" s="39" t="s">
        <v>146</v>
      </c>
      <c r="C84" s="40" t="s">
        <v>68</v>
      </c>
      <c r="D84" s="134"/>
      <c r="E84" s="134"/>
      <c r="F84" s="134"/>
      <c r="G84" s="134"/>
      <c r="H84" s="134">
        <f t="shared" ref="H84:I84" si="57">ROUND((H133*H$107+H173*H$150)/H$58,3)</f>
        <v>111.53400000000001</v>
      </c>
      <c r="I84" s="134">
        <f t="shared" si="57"/>
        <v>111.672</v>
      </c>
      <c r="J84" s="134">
        <f t="shared" ref="J84:O84" si="58">ROUND((J133*J$107+J173*J$150)/J$58,3)</f>
        <v>110.35599999999999</v>
      </c>
      <c r="K84" s="134">
        <f t="shared" si="58"/>
        <v>107.559</v>
      </c>
      <c r="L84" s="134">
        <f t="shared" si="58"/>
        <v>107.56</v>
      </c>
      <c r="M84" s="134">
        <f t="shared" si="58"/>
        <v>107.598</v>
      </c>
      <c r="N84" s="134">
        <f t="shared" si="58"/>
        <v>107.554</v>
      </c>
      <c r="O84" s="134">
        <f t="shared" si="58"/>
        <v>107.533</v>
      </c>
      <c r="P84" s="135">
        <f>(D84*$D$58+E84*$E$58+F84*$F$58+G84*$G$58+H84*$H$58+I84*$I$58+J84*$J$58+K84*$K$58+L84*$L$58+M84*$M$58+N84*$N$58+O84*$O$58)/$P$58</f>
        <v>108.91169221500633</v>
      </c>
    </row>
    <row r="85" spans="2:16" ht="18" hidden="1" outlineLevel="1" x14ac:dyDescent="0.25">
      <c r="B85" s="34" t="s">
        <v>148</v>
      </c>
      <c r="C85" s="35" t="s">
        <v>81</v>
      </c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8"/>
    </row>
    <row r="86" spans="2:16" ht="15.75" collapsed="1" x14ac:dyDescent="0.25">
      <c r="B86" s="34" t="s">
        <v>70</v>
      </c>
      <c r="C86" s="35" t="s">
        <v>10</v>
      </c>
      <c r="D86" s="137"/>
      <c r="E86" s="137"/>
      <c r="F86" s="137"/>
      <c r="G86" s="137"/>
      <c r="H86" s="137">
        <f t="shared" ref="H86:I86" si="59">ROUND((H135*H$107+H174*H$150)/H$58,3)</f>
        <v>108.666</v>
      </c>
      <c r="I86" s="137">
        <f t="shared" si="59"/>
        <v>104.105</v>
      </c>
      <c r="J86" s="137">
        <f t="shared" ref="J86:O86" si="60">ROUND((J135*J$107+J174*J$150)/J$58,3)</f>
        <v>108.47</v>
      </c>
      <c r="K86" s="137">
        <f t="shared" si="60"/>
        <v>108.17</v>
      </c>
      <c r="L86" s="137">
        <f t="shared" si="60"/>
        <v>108.315</v>
      </c>
      <c r="M86" s="137">
        <f t="shared" si="60"/>
        <v>106.392</v>
      </c>
      <c r="N86" s="137">
        <f t="shared" si="60"/>
        <v>108.703</v>
      </c>
      <c r="O86" s="137">
        <f t="shared" si="60"/>
        <v>109.188</v>
      </c>
      <c r="P86" s="138">
        <f t="shared" si="35"/>
        <v>107.75550831188987</v>
      </c>
    </row>
    <row r="87" spans="2:16" ht="15.75" x14ac:dyDescent="0.25">
      <c r="B87" s="34" t="s">
        <v>71</v>
      </c>
      <c r="C87" s="35" t="s">
        <v>10</v>
      </c>
      <c r="D87" s="7"/>
      <c r="E87" s="7"/>
      <c r="F87" s="7"/>
      <c r="G87" s="7"/>
      <c r="H87" s="7">
        <f t="shared" ref="H87:I87" si="61">ROUND((H175*H$150+H136*H$107)/H$58,3)</f>
        <v>0</v>
      </c>
      <c r="I87" s="7">
        <f t="shared" si="61"/>
        <v>0</v>
      </c>
      <c r="J87" s="7">
        <f t="shared" ref="J87:O87" si="62">ROUND((J175*J$150+J136*J$107)/J$58,3)</f>
        <v>0</v>
      </c>
      <c r="K87" s="7">
        <f t="shared" si="62"/>
        <v>0</v>
      </c>
      <c r="L87" s="7">
        <f t="shared" si="62"/>
        <v>0</v>
      </c>
      <c r="M87" s="7">
        <f t="shared" si="62"/>
        <v>0</v>
      </c>
      <c r="N87" s="7">
        <f t="shared" si="62"/>
        <v>0</v>
      </c>
      <c r="O87" s="7">
        <f t="shared" si="62"/>
        <v>0</v>
      </c>
      <c r="P87" s="8">
        <f t="shared" si="35"/>
        <v>0</v>
      </c>
    </row>
    <row r="88" spans="2:16" ht="15.75" x14ac:dyDescent="0.25">
      <c r="B88" s="34" t="s">
        <v>72</v>
      </c>
      <c r="C88" s="35" t="s">
        <v>10</v>
      </c>
      <c r="D88" s="7"/>
      <c r="E88" s="7"/>
      <c r="F88" s="7"/>
      <c r="G88" s="7"/>
      <c r="H88" s="7">
        <f t="shared" ref="H88:I88" si="63">ROUND((H176*H$150+H137*H$107)/H$58,3)</f>
        <v>14.510999999999999</v>
      </c>
      <c r="I88" s="7">
        <f t="shared" si="63"/>
        <v>14</v>
      </c>
      <c r="J88" s="7">
        <f t="shared" ref="J88:O88" si="64">ROUND((J176*J$150+J137*J$107)/J$58,3)</f>
        <v>12</v>
      </c>
      <c r="K88" s="7">
        <f t="shared" si="64"/>
        <v>13</v>
      </c>
      <c r="L88" s="7">
        <f t="shared" si="64"/>
        <v>12</v>
      </c>
      <c r="M88" s="7">
        <f t="shared" si="64"/>
        <v>12.401999999999999</v>
      </c>
      <c r="N88" s="7">
        <f t="shared" si="64"/>
        <v>12</v>
      </c>
      <c r="O88" s="7">
        <f t="shared" si="64"/>
        <v>12.532999999999999</v>
      </c>
      <c r="P88" s="8">
        <f t="shared" si="35"/>
        <v>12.79213523669485</v>
      </c>
    </row>
    <row r="89" spans="2:16" ht="15.75" x14ac:dyDescent="0.25">
      <c r="B89" s="34" t="s">
        <v>75</v>
      </c>
      <c r="C89" s="35" t="s">
        <v>10</v>
      </c>
      <c r="D89" s="137"/>
      <c r="E89" s="137"/>
      <c r="F89" s="137"/>
      <c r="G89" s="137"/>
      <c r="H89" s="137">
        <f t="shared" ref="H89:I89" si="65">ROUND((H138*H$107+H177*H$150)/H$58,3)</f>
        <v>14.436</v>
      </c>
      <c r="I89" s="137">
        <f t="shared" si="65"/>
        <v>15.606999999999999</v>
      </c>
      <c r="J89" s="137">
        <f t="shared" ref="J89:O89" si="66">ROUND((J138*J$107+J177*J$150)/J$58,3)</f>
        <v>16.541</v>
      </c>
      <c r="K89" s="137">
        <f t="shared" si="66"/>
        <v>16.541</v>
      </c>
      <c r="L89" s="137">
        <f t="shared" si="66"/>
        <v>16.132000000000001</v>
      </c>
      <c r="M89" s="137">
        <f t="shared" si="66"/>
        <v>16.05</v>
      </c>
      <c r="N89" s="137">
        <f t="shared" si="66"/>
        <v>16.074999999999999</v>
      </c>
      <c r="O89" s="137">
        <f t="shared" si="66"/>
        <v>15.513999999999999</v>
      </c>
      <c r="P89" s="138">
        <f t="shared" si="35"/>
        <v>15.879672425764817</v>
      </c>
    </row>
    <row r="90" spans="2:16" ht="15.75" x14ac:dyDescent="0.25">
      <c r="B90" s="34" t="s">
        <v>82</v>
      </c>
      <c r="C90" s="35" t="s">
        <v>10</v>
      </c>
      <c r="D90" s="137"/>
      <c r="E90" s="137"/>
      <c r="F90" s="137"/>
      <c r="G90" s="137"/>
      <c r="H90" s="137">
        <f t="shared" ref="H90:I90" si="67">ROUND((H139*H$107+H178*H$150)/H$58,3)</f>
        <v>15.534000000000001</v>
      </c>
      <c r="I90" s="137">
        <f t="shared" si="67"/>
        <v>15.672000000000001</v>
      </c>
      <c r="J90" s="137">
        <f t="shared" ref="J90:O90" si="68">ROUND((J139*J$107+J178*J$150)/J$58,3)</f>
        <v>15.678000000000001</v>
      </c>
      <c r="K90" s="137">
        <f t="shared" si="68"/>
        <v>15.678000000000001</v>
      </c>
      <c r="L90" s="137">
        <f t="shared" si="68"/>
        <v>15.679</v>
      </c>
      <c r="M90" s="137">
        <f t="shared" si="68"/>
        <v>15.792999999999999</v>
      </c>
      <c r="N90" s="137">
        <f t="shared" si="68"/>
        <v>15.663</v>
      </c>
      <c r="O90" s="137">
        <f t="shared" si="68"/>
        <v>15.6</v>
      </c>
      <c r="P90" s="138">
        <f t="shared" si="35"/>
        <v>15.662570150716823</v>
      </c>
    </row>
    <row r="91" spans="2:16" ht="16.5" thickBot="1" x14ac:dyDescent="0.3">
      <c r="B91" s="89" t="s">
        <v>76</v>
      </c>
      <c r="C91" s="110" t="s">
        <v>10</v>
      </c>
      <c r="D91" s="7"/>
      <c r="E91" s="7"/>
      <c r="F91" s="7"/>
      <c r="G91" s="7"/>
      <c r="H91" s="7">
        <f t="shared" ref="H91:I91" si="69">ROUND((H140*H$107+H179*H$150)/H$58,3)</f>
        <v>360.911</v>
      </c>
      <c r="I91" s="7">
        <f t="shared" si="69"/>
        <v>357.67200000000003</v>
      </c>
      <c r="J91" s="7">
        <f t="shared" ref="J91:O91" si="70">ROUND((J140*J$107+J179*J$150)/J$58,3)</f>
        <v>323.11900000000003</v>
      </c>
      <c r="K91" s="7">
        <f t="shared" si="70"/>
        <v>325.678</v>
      </c>
      <c r="L91" s="7">
        <f t="shared" si="70"/>
        <v>323.67899999999997</v>
      </c>
      <c r="M91" s="7">
        <f t="shared" si="70"/>
        <v>322.37799999999999</v>
      </c>
      <c r="N91" s="7">
        <f t="shared" si="70"/>
        <v>324.66300000000001</v>
      </c>
      <c r="O91" s="7">
        <f t="shared" si="70"/>
        <v>321.33300000000003</v>
      </c>
      <c r="P91" s="123">
        <f t="shared" si="35"/>
        <v>332.21163517542783</v>
      </c>
    </row>
    <row r="92" spans="2:16" ht="15.75" x14ac:dyDescent="0.25">
      <c r="B92" s="104"/>
      <c r="C92" s="18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5"/>
    </row>
    <row r="93" spans="2:16" ht="16.5" thickBot="1" x14ac:dyDescent="0.3">
      <c r="B93" s="15" t="s">
        <v>77</v>
      </c>
      <c r="C93" s="18" t="s">
        <v>32</v>
      </c>
      <c r="D93" s="146"/>
      <c r="E93" s="146"/>
      <c r="F93" s="146"/>
      <c r="G93" s="146"/>
      <c r="H93" s="146">
        <f t="shared" ref="H93:I93" si="71">ROUND((H142*H$107+H181*H$150)/H$58,2)</f>
        <v>57.74</v>
      </c>
      <c r="I93" s="146">
        <f t="shared" si="71"/>
        <v>57.89</v>
      </c>
      <c r="J93" s="146">
        <f t="shared" ref="J93:O93" si="72">ROUND((J142*J$107+J181*J$150)/J$58,2)</f>
        <v>59.08</v>
      </c>
      <c r="K93" s="146">
        <f t="shared" si="72"/>
        <v>59</v>
      </c>
      <c r="L93" s="146">
        <f t="shared" si="72"/>
        <v>59.06</v>
      </c>
      <c r="M93" s="146">
        <f t="shared" si="72"/>
        <v>59.12</v>
      </c>
      <c r="N93" s="146">
        <f t="shared" si="72"/>
        <v>59.02</v>
      </c>
      <c r="O93" s="146">
        <f t="shared" si="72"/>
        <v>59.15</v>
      </c>
      <c r="P93" s="142">
        <f>(D93*$D$58+E93*$E$58+F93*$F$58+G93*$G$58+H93*$H$58+I93*$I$58+J93*$J$58+K93*$K$58+L93*$L$58+M93*$M$58+N93*$N$58+O93*$O$58)/$P$58</f>
        <v>58.765209124698764</v>
      </c>
    </row>
    <row r="94" spans="2:16" ht="15.75" x14ac:dyDescent="0.25">
      <c r="B94" s="19" t="s">
        <v>78</v>
      </c>
      <c r="C94" s="102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47"/>
    </row>
    <row r="95" spans="2:16" ht="16.5" thickBot="1" x14ac:dyDescent="0.3">
      <c r="B95" s="112" t="s">
        <v>79</v>
      </c>
      <c r="C95" s="90" t="s">
        <v>32</v>
      </c>
      <c r="D95" s="119"/>
      <c r="E95" s="119"/>
      <c r="F95" s="119"/>
      <c r="G95" s="119"/>
      <c r="H95" s="119">
        <f t="shared" ref="H95:I95" si="73">ROUND((H144*H$107+H183*H$150)/H$58,2)</f>
        <v>57.74</v>
      </c>
      <c r="I95" s="119">
        <f t="shared" si="73"/>
        <v>57.89</v>
      </c>
      <c r="J95" s="119">
        <f t="shared" ref="J95:O95" si="74">ROUND((J144*J$107+J183*J$150)/J$58,2)</f>
        <v>59.08</v>
      </c>
      <c r="K95" s="119">
        <f t="shared" si="74"/>
        <v>59</v>
      </c>
      <c r="L95" s="119">
        <f t="shared" si="74"/>
        <v>59.06</v>
      </c>
      <c r="M95" s="119">
        <f t="shared" si="74"/>
        <v>59.12</v>
      </c>
      <c r="N95" s="119">
        <f t="shared" si="74"/>
        <v>59.02</v>
      </c>
      <c r="O95" s="119">
        <f t="shared" si="74"/>
        <v>59.15</v>
      </c>
      <c r="P95" s="118">
        <f>(D95*$D$58+E95*$E$58+F95*$F$58+G95*$G$58+H95*$H$58+I95*$I$58+J95*$J$58+K95*$K$58+L95*$L$58+M95*$M$58+N95*$N$58+O95*$O$58)/$P$58</f>
        <v>58.765209124698764</v>
      </c>
    </row>
    <row r="96" spans="2:16" s="202" customFormat="1" ht="38.25" customHeight="1" x14ac:dyDescent="0.25">
      <c r="B96" s="313" t="s">
        <v>149</v>
      </c>
      <c r="C96" s="313"/>
      <c r="D96" s="313"/>
      <c r="E96" s="313"/>
      <c r="F96" s="313"/>
      <c r="G96" s="313"/>
      <c r="H96" s="313"/>
      <c r="I96" s="313"/>
      <c r="J96" s="313"/>
      <c r="K96" s="313"/>
      <c r="L96" s="313"/>
      <c r="M96" s="313"/>
      <c r="N96" s="313"/>
      <c r="O96" s="313"/>
      <c r="P96" s="313"/>
    </row>
    <row r="97" spans="2:16" ht="15.75" x14ac:dyDescent="0.25">
      <c r="B97" s="60"/>
      <c r="C97" s="25"/>
      <c r="D97" s="27"/>
      <c r="E97" s="25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 t="s">
        <v>83</v>
      </c>
    </row>
    <row r="98" spans="2:16" ht="15.75" x14ac:dyDescent="0.25">
      <c r="B98" s="43" t="s">
        <v>1</v>
      </c>
      <c r="C98" s="10"/>
      <c r="D98" s="27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3" t="s">
        <v>222</v>
      </c>
    </row>
    <row r="99" spans="2:16" ht="15.75" x14ac:dyDescent="0.25">
      <c r="B99" s="25" t="s">
        <v>44</v>
      </c>
      <c r="C99" s="27"/>
      <c r="D99" s="27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3"/>
    </row>
    <row r="100" spans="2:16" ht="15.75" x14ac:dyDescent="0.25">
      <c r="B100" s="25" t="s">
        <v>225</v>
      </c>
      <c r="C100" s="27"/>
      <c r="D100" s="27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3"/>
    </row>
    <row r="101" spans="2:16" ht="15.75" x14ac:dyDescent="0.2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7"/>
    </row>
    <row r="102" spans="2:16" ht="15.75" x14ac:dyDescent="0.25">
      <c r="B102" s="24"/>
      <c r="C102" s="24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7"/>
    </row>
    <row r="103" spans="2:16" ht="15.75" x14ac:dyDescent="0.25">
      <c r="B103" s="25" t="s">
        <v>84</v>
      </c>
      <c r="C103" s="27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21"/>
    </row>
    <row r="104" spans="2:16" ht="15.75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59"/>
    </row>
    <row r="105" spans="2:16" ht="16.5" thickBot="1" x14ac:dyDescent="0.3">
      <c r="B105" s="24"/>
      <c r="C105" s="86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55"/>
    </row>
    <row r="106" spans="2:16" ht="16.5" thickBot="1" x14ac:dyDescent="0.3">
      <c r="B106" s="29" t="s">
        <v>4</v>
      </c>
      <c r="C106" s="29" t="s">
        <v>5</v>
      </c>
      <c r="D106" s="30"/>
      <c r="E106" s="30"/>
      <c r="F106" s="30"/>
      <c r="G106" s="30"/>
      <c r="H106" s="30">
        <v>43952</v>
      </c>
      <c r="I106" s="30">
        <v>43983</v>
      </c>
      <c r="J106" s="30">
        <v>44013</v>
      </c>
      <c r="K106" s="30">
        <v>44044</v>
      </c>
      <c r="L106" s="30">
        <v>44075</v>
      </c>
      <c r="M106" s="30">
        <v>44105</v>
      </c>
      <c r="N106" s="30">
        <v>44136</v>
      </c>
      <c r="O106" s="30">
        <v>44166</v>
      </c>
      <c r="P106" s="6" t="s">
        <v>150</v>
      </c>
    </row>
    <row r="107" spans="2:16" ht="15.75" x14ac:dyDescent="0.25">
      <c r="B107" s="81" t="s">
        <v>45</v>
      </c>
      <c r="C107" s="31" t="s">
        <v>7</v>
      </c>
      <c r="D107" s="204"/>
      <c r="E107" s="204"/>
      <c r="F107" s="204"/>
      <c r="G107" s="204"/>
      <c r="H107" s="204">
        <v>282.10000000000008</v>
      </c>
      <c r="I107" s="204">
        <v>272.7000000000001</v>
      </c>
      <c r="J107" s="204">
        <v>282.10000000000002</v>
      </c>
      <c r="K107" s="204">
        <v>282.10000000000002</v>
      </c>
      <c r="L107" s="204">
        <v>272.7000000000001</v>
      </c>
      <c r="M107" s="204">
        <v>234.7000000000001</v>
      </c>
      <c r="N107" s="204">
        <v>274.20000000000005</v>
      </c>
      <c r="O107" s="204">
        <v>282.40000000000003</v>
      </c>
      <c r="P107" s="166">
        <f>SUM(D107:O107)</f>
        <v>2183.0000000000005</v>
      </c>
    </row>
    <row r="108" spans="2:16" ht="15.75" x14ac:dyDescent="0.25">
      <c r="B108" s="83" t="s">
        <v>46</v>
      </c>
      <c r="C108" s="35" t="s">
        <v>47</v>
      </c>
      <c r="D108" s="205"/>
      <c r="E108" s="205"/>
      <c r="F108" s="205"/>
      <c r="G108" s="205"/>
      <c r="H108" s="205">
        <f>H107/31*1000</f>
        <v>9100.0000000000036</v>
      </c>
      <c r="I108" s="205">
        <f>I107/30*1000</f>
        <v>9090.0000000000036</v>
      </c>
      <c r="J108" s="205">
        <f t="shared" ref="J108:K108" si="75">J107/31*1000</f>
        <v>9100.0000000000018</v>
      </c>
      <c r="K108" s="205">
        <f t="shared" si="75"/>
        <v>9100.0000000000018</v>
      </c>
      <c r="L108" s="205">
        <f>L107/30*1000</f>
        <v>9090.0000000000036</v>
      </c>
      <c r="M108" s="205">
        <f>M107/(31-3)*1000</f>
        <v>8382.1428571428623</v>
      </c>
      <c r="N108" s="205">
        <f>N107/30*1000</f>
        <v>9140.0000000000018</v>
      </c>
      <c r="O108" s="205">
        <f>O107/31*1000</f>
        <v>9109.6774193548408</v>
      </c>
      <c r="P108" s="206">
        <f>P107/(275-3)*1000</f>
        <v>8025.7352941176487</v>
      </c>
    </row>
    <row r="109" spans="2:16" ht="15.75" x14ac:dyDescent="0.25">
      <c r="B109" s="34" t="s">
        <v>8</v>
      </c>
      <c r="C109" s="3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7"/>
    </row>
    <row r="110" spans="2:16" ht="15.75" x14ac:dyDescent="0.25">
      <c r="B110" s="34" t="s">
        <v>48</v>
      </c>
      <c r="C110" s="35" t="s">
        <v>10</v>
      </c>
      <c r="D110" s="7"/>
      <c r="E110" s="7"/>
      <c r="F110" s="7"/>
      <c r="G110" s="7"/>
      <c r="H110" s="7">
        <v>1058</v>
      </c>
      <c r="I110" s="7">
        <v>1042</v>
      </c>
      <c r="J110" s="7">
        <v>1086</v>
      </c>
      <c r="K110" s="7">
        <v>1083</v>
      </c>
      <c r="L110" s="7">
        <v>1084</v>
      </c>
      <c r="M110" s="7">
        <v>1084</v>
      </c>
      <c r="N110" s="7">
        <v>1086</v>
      </c>
      <c r="O110" s="7">
        <v>1078</v>
      </c>
      <c r="P110" s="121">
        <f t="shared" ref="P110:P120" si="76">ROUND((D110*$D$107+E110*$E$107+F110*$F$107+G110*$G$107+H110*$H$107+I110*$I$107+J110*$J$107+K110*$K$107+L110*$L$107+M110*$M$107+N110*$N$107+O110*$O$107)/$P$107,0)</f>
        <v>1075</v>
      </c>
    </row>
    <row r="111" spans="2:16" ht="15.75" x14ac:dyDescent="0.25">
      <c r="B111" s="34" t="s">
        <v>49</v>
      </c>
      <c r="C111" s="35" t="s">
        <v>10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8">
        <f t="shared" si="76"/>
        <v>0</v>
      </c>
    </row>
    <row r="112" spans="2:16" ht="15.75" x14ac:dyDescent="0.25">
      <c r="B112" s="34" t="s">
        <v>50</v>
      </c>
      <c r="C112" s="35" t="s">
        <v>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8">
        <f t="shared" si="76"/>
        <v>0</v>
      </c>
    </row>
    <row r="113" spans="2:16" ht="15.75" x14ac:dyDescent="0.25">
      <c r="B113" s="34" t="s">
        <v>51</v>
      </c>
      <c r="C113" s="35" t="s">
        <v>10</v>
      </c>
      <c r="D113" s="127"/>
      <c r="E113" s="127"/>
      <c r="F113" s="127"/>
      <c r="G113" s="127"/>
      <c r="H113" s="127">
        <v>8</v>
      </c>
      <c r="I113" s="127">
        <v>10</v>
      </c>
      <c r="J113" s="127">
        <v>8</v>
      </c>
      <c r="K113" s="127">
        <v>8</v>
      </c>
      <c r="L113" s="127">
        <v>8</v>
      </c>
      <c r="M113" s="127">
        <v>3</v>
      </c>
      <c r="N113" s="127">
        <v>8</v>
      </c>
      <c r="O113" s="127">
        <v>8</v>
      </c>
      <c r="P113" s="121">
        <f t="shared" si="76"/>
        <v>8</v>
      </c>
    </row>
    <row r="114" spans="2:16" ht="15.75" x14ac:dyDescent="0.25">
      <c r="B114" s="34" t="s">
        <v>109</v>
      </c>
      <c r="C114" s="35" t="s">
        <v>10</v>
      </c>
      <c r="D114" s="127"/>
      <c r="E114" s="127"/>
      <c r="F114" s="127"/>
      <c r="G114" s="127"/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5</v>
      </c>
      <c r="N114" s="127">
        <v>0</v>
      </c>
      <c r="O114" s="127">
        <v>0</v>
      </c>
      <c r="P114" s="121">
        <f>ROUND((D114*$D$107+E114*$E$107+F114*$F$107+G114*$G$107+H114*$H$107+I114*$I$107+J114*$J$107+K114*$K$107+L114*$L$107+M114*$M$107+N114*$N$107+O114*$O$107)/$P$107,0)</f>
        <v>1</v>
      </c>
    </row>
    <row r="115" spans="2:16" ht="15.75" x14ac:dyDescent="0.25">
      <c r="B115" s="34" t="s">
        <v>52</v>
      </c>
      <c r="C115" s="35" t="s">
        <v>10</v>
      </c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1">
        <f t="shared" si="76"/>
        <v>0</v>
      </c>
    </row>
    <row r="116" spans="2:16" ht="15.75" x14ac:dyDescent="0.25">
      <c r="B116" s="34" t="s">
        <v>53</v>
      </c>
      <c r="C116" s="35" t="s">
        <v>10</v>
      </c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1">
        <f t="shared" si="76"/>
        <v>0</v>
      </c>
    </row>
    <row r="117" spans="2:16" ht="15.75" x14ac:dyDescent="0.25">
      <c r="B117" s="34" t="s">
        <v>54</v>
      </c>
      <c r="C117" s="35" t="s">
        <v>10</v>
      </c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1">
        <f t="shared" si="76"/>
        <v>0</v>
      </c>
    </row>
    <row r="118" spans="2:16" ht="15.75" x14ac:dyDescent="0.25">
      <c r="B118" s="34" t="s">
        <v>55</v>
      </c>
      <c r="C118" s="35" t="s">
        <v>10</v>
      </c>
      <c r="D118" s="127"/>
      <c r="E118" s="127"/>
      <c r="F118" s="127"/>
      <c r="G118" s="127"/>
      <c r="H118" s="127">
        <v>544</v>
      </c>
      <c r="I118" s="127">
        <v>549</v>
      </c>
      <c r="J118" s="127">
        <v>475</v>
      </c>
      <c r="K118" s="127">
        <v>480</v>
      </c>
      <c r="L118" s="127">
        <v>476</v>
      </c>
      <c r="M118" s="127">
        <v>492</v>
      </c>
      <c r="N118" s="127">
        <v>475</v>
      </c>
      <c r="O118" s="127">
        <v>467</v>
      </c>
      <c r="P118" s="121">
        <f t="shared" si="76"/>
        <v>495</v>
      </c>
    </row>
    <row r="119" spans="2:16" ht="15.75" x14ac:dyDescent="0.25">
      <c r="B119" s="34" t="s">
        <v>80</v>
      </c>
      <c r="C119" s="35" t="s">
        <v>10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21">
        <f t="shared" si="76"/>
        <v>0</v>
      </c>
    </row>
    <row r="120" spans="2:16" ht="15.75" x14ac:dyDescent="0.25">
      <c r="B120" s="34" t="s">
        <v>57</v>
      </c>
      <c r="C120" s="35" t="s">
        <v>10</v>
      </c>
      <c r="D120" s="7"/>
      <c r="E120" s="7"/>
      <c r="F120" s="7"/>
      <c r="G120" s="7"/>
      <c r="H120" s="7">
        <v>58</v>
      </c>
      <c r="I120" s="7">
        <v>58</v>
      </c>
      <c r="J120" s="7">
        <v>56</v>
      </c>
      <c r="K120" s="7">
        <v>56</v>
      </c>
      <c r="L120" s="7">
        <v>58</v>
      </c>
      <c r="M120" s="7">
        <v>35</v>
      </c>
      <c r="N120" s="7">
        <v>58</v>
      </c>
      <c r="O120" s="7">
        <v>75</v>
      </c>
      <c r="P120" s="121">
        <f t="shared" si="76"/>
        <v>57</v>
      </c>
    </row>
    <row r="121" spans="2:16" ht="15.75" x14ac:dyDescent="0.25">
      <c r="B121" s="39" t="s">
        <v>58</v>
      </c>
      <c r="C121" s="40" t="s">
        <v>10</v>
      </c>
      <c r="D121" s="222"/>
      <c r="E121" s="222"/>
      <c r="F121" s="222"/>
      <c r="G121" s="222"/>
      <c r="H121" s="222">
        <v>1667</v>
      </c>
      <c r="I121" s="222">
        <v>1655</v>
      </c>
      <c r="J121" s="222">
        <v>1625</v>
      </c>
      <c r="K121" s="222">
        <v>1628</v>
      </c>
      <c r="L121" s="222">
        <v>1626</v>
      </c>
      <c r="M121" s="222">
        <v>1619</v>
      </c>
      <c r="N121" s="222">
        <v>1629</v>
      </c>
      <c r="O121" s="222">
        <v>1616</v>
      </c>
      <c r="P121" s="9">
        <f>SUM(P110:P120)</f>
        <v>1636</v>
      </c>
    </row>
    <row r="122" spans="2:16" ht="15.75" x14ac:dyDescent="0.25">
      <c r="B122" s="34" t="s">
        <v>59</v>
      </c>
      <c r="C122" s="35" t="s">
        <v>10</v>
      </c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1">
        <f t="shared" ref="P122:P135" si="77">ROUND((D122*$D$107+E122*$E$107+F122*$F$107+G122*$G$107+H122*$H$107+I122*$I$107+J122*$J$107+K122*$K$107+L122*$L$107+M122*$M$107+N122*$N$107+O122*$O$107)/$P$107,1)</f>
        <v>0</v>
      </c>
    </row>
    <row r="123" spans="2:16" ht="15.75" x14ac:dyDescent="0.25">
      <c r="B123" s="34" t="s">
        <v>60</v>
      </c>
      <c r="C123" s="35" t="s">
        <v>10</v>
      </c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21">
        <f t="shared" si="77"/>
        <v>0</v>
      </c>
    </row>
    <row r="124" spans="2:16" ht="15.75" x14ac:dyDescent="0.25">
      <c r="B124" s="39" t="s">
        <v>162</v>
      </c>
      <c r="C124" s="40" t="s">
        <v>10</v>
      </c>
      <c r="D124" s="208"/>
      <c r="E124" s="208"/>
      <c r="F124" s="208"/>
      <c r="G124" s="208"/>
      <c r="H124" s="208">
        <v>322</v>
      </c>
      <c r="I124" s="208">
        <v>322</v>
      </c>
      <c r="J124" s="208">
        <v>318</v>
      </c>
      <c r="K124" s="208">
        <v>318</v>
      </c>
      <c r="L124" s="208">
        <v>318</v>
      </c>
      <c r="M124" s="208">
        <v>341</v>
      </c>
      <c r="N124" s="208">
        <v>318</v>
      </c>
      <c r="O124" s="208">
        <v>317</v>
      </c>
      <c r="P124" s="9">
        <f>ROUND((D124*$D$107+E124*$E$107+F124*$F$107+G124*$G$107+H124*$H$107+I124*$I$107+J124*$J$107+K124*$K$107+L124*$L$107+M124*$M$107+N124*$N$107+O124*$O$107)/$P$107,1)</f>
        <v>321.39999999999998</v>
      </c>
    </row>
    <row r="125" spans="2:16" ht="15.75" x14ac:dyDescent="0.25">
      <c r="B125" s="34" t="s">
        <v>62</v>
      </c>
      <c r="C125" s="35" t="s">
        <v>10</v>
      </c>
      <c r="D125" s="236"/>
      <c r="E125" s="236"/>
      <c r="F125" s="236"/>
      <c r="G125" s="236"/>
      <c r="H125" s="236">
        <v>25</v>
      </c>
      <c r="I125" s="236">
        <v>23.4</v>
      </c>
      <c r="J125" s="236">
        <v>20.3</v>
      </c>
      <c r="K125" s="236">
        <v>22.8</v>
      </c>
      <c r="L125" s="236">
        <v>19.899999999999999</v>
      </c>
      <c r="M125" s="236">
        <v>19</v>
      </c>
      <c r="N125" s="236">
        <v>18.600000000000001</v>
      </c>
      <c r="O125" s="236">
        <v>25</v>
      </c>
      <c r="P125" s="138">
        <f t="shared" ref="P125:P134" si="78">ROUND((D125*$D$107+E125*$E$107+F125*$F$107+G125*$G$107+H125*$H$107+I125*$I$107+J125*$J$107+K125*$K$107+L125*$L$107+M125*$M$107+N125*$N$107+O125*$O$107)/$P$107,1)</f>
        <v>21.8</v>
      </c>
    </row>
    <row r="126" spans="2:16" ht="15.75" x14ac:dyDescent="0.25">
      <c r="B126" s="36" t="s">
        <v>158</v>
      </c>
      <c r="C126" s="35" t="s">
        <v>10</v>
      </c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138">
        <f t="shared" si="78"/>
        <v>0</v>
      </c>
    </row>
    <row r="127" spans="2:16" ht="47.25" x14ac:dyDescent="0.25">
      <c r="B127" s="36" t="s">
        <v>85</v>
      </c>
      <c r="C127" s="35" t="s">
        <v>10</v>
      </c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138">
        <f t="shared" si="78"/>
        <v>0</v>
      </c>
    </row>
    <row r="128" spans="2:16" ht="15.75" x14ac:dyDescent="0.25">
      <c r="B128" s="34" t="s">
        <v>86</v>
      </c>
      <c r="C128" s="35" t="s">
        <v>10</v>
      </c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138">
        <f t="shared" si="78"/>
        <v>0</v>
      </c>
    </row>
    <row r="129" spans="2:16" ht="15.75" x14ac:dyDescent="0.25">
      <c r="B129" s="34" t="s">
        <v>143</v>
      </c>
      <c r="C129" s="35" t="s">
        <v>10</v>
      </c>
      <c r="D129" s="205"/>
      <c r="E129" s="205"/>
      <c r="F129" s="205"/>
      <c r="G129" s="205"/>
      <c r="H129" s="205">
        <f t="shared" ref="H129:O129" si="79">ROUND((H124-H125-H126-H127-H128)*11.3/(100-11.3),0)</f>
        <v>38</v>
      </c>
      <c r="I129" s="205">
        <f t="shared" si="79"/>
        <v>38</v>
      </c>
      <c r="J129" s="205">
        <f t="shared" si="79"/>
        <v>38</v>
      </c>
      <c r="K129" s="205">
        <f t="shared" si="79"/>
        <v>38</v>
      </c>
      <c r="L129" s="205">
        <f t="shared" si="79"/>
        <v>38</v>
      </c>
      <c r="M129" s="205">
        <f t="shared" si="79"/>
        <v>41</v>
      </c>
      <c r="N129" s="205">
        <f t="shared" si="79"/>
        <v>38</v>
      </c>
      <c r="O129" s="205">
        <f t="shared" si="79"/>
        <v>37</v>
      </c>
      <c r="P129" s="8">
        <f t="shared" si="78"/>
        <v>38.200000000000003</v>
      </c>
    </row>
    <row r="130" spans="2:16" ht="15.75" x14ac:dyDescent="0.25">
      <c r="B130" s="34" t="s">
        <v>62</v>
      </c>
      <c r="C130" s="35" t="s">
        <v>10</v>
      </c>
      <c r="D130" s="236"/>
      <c r="E130" s="236"/>
      <c r="F130" s="236"/>
      <c r="G130" s="236"/>
      <c r="H130" s="236">
        <v>4.3399638336347213</v>
      </c>
      <c r="I130" s="236">
        <v>4.4893378226711578</v>
      </c>
      <c r="J130" s="236">
        <v>4.2964554242749715</v>
      </c>
      <c r="K130" s="236">
        <v>4.2964554242749715</v>
      </c>
      <c r="L130" s="236">
        <v>4.4444444444444429</v>
      </c>
      <c r="M130" s="236">
        <v>5.0912176495545189</v>
      </c>
      <c r="N130" s="236">
        <v>0</v>
      </c>
      <c r="O130" s="236">
        <v>0</v>
      </c>
      <c r="P130" s="138">
        <f t="shared" si="78"/>
        <v>3.3</v>
      </c>
    </row>
    <row r="131" spans="2:16" ht="15.75" x14ac:dyDescent="0.25">
      <c r="B131" s="39" t="s">
        <v>147</v>
      </c>
      <c r="C131" s="40" t="s">
        <v>10</v>
      </c>
      <c r="D131" s="208"/>
      <c r="E131" s="208"/>
      <c r="F131" s="208"/>
      <c r="G131" s="208"/>
      <c r="H131" s="208">
        <v>129</v>
      </c>
      <c r="I131" s="208">
        <v>129</v>
      </c>
      <c r="J131" s="208">
        <v>129</v>
      </c>
      <c r="K131" s="208">
        <v>129</v>
      </c>
      <c r="L131" s="208">
        <v>129</v>
      </c>
      <c r="M131" s="208">
        <v>107</v>
      </c>
      <c r="N131" s="208">
        <v>129</v>
      </c>
      <c r="O131" s="208">
        <v>129</v>
      </c>
      <c r="P131" s="9">
        <f t="shared" si="78"/>
        <v>126.6</v>
      </c>
    </row>
    <row r="132" spans="2:16" ht="18" x14ac:dyDescent="0.25">
      <c r="B132" s="39" t="s">
        <v>145</v>
      </c>
      <c r="C132" s="40" t="s">
        <v>68</v>
      </c>
      <c r="D132" s="208"/>
      <c r="E132" s="208"/>
      <c r="F132" s="208"/>
      <c r="G132" s="208"/>
      <c r="H132" s="208">
        <v>57</v>
      </c>
      <c r="I132" s="208">
        <v>57</v>
      </c>
      <c r="J132" s="208">
        <v>57</v>
      </c>
      <c r="K132" s="208">
        <v>57</v>
      </c>
      <c r="L132" s="208">
        <v>57</v>
      </c>
      <c r="M132" s="208">
        <v>62</v>
      </c>
      <c r="N132" s="208">
        <v>57</v>
      </c>
      <c r="O132" s="208">
        <v>57</v>
      </c>
      <c r="P132" s="9">
        <f t="shared" si="78"/>
        <v>57.5</v>
      </c>
    </row>
    <row r="133" spans="2:16" ht="18" x14ac:dyDescent="0.25">
      <c r="B133" s="39" t="s">
        <v>146</v>
      </c>
      <c r="C133" s="40" t="s">
        <v>68</v>
      </c>
      <c r="D133" s="208"/>
      <c r="E133" s="208"/>
      <c r="F133" s="208"/>
      <c r="G133" s="208"/>
      <c r="H133" s="208">
        <v>110</v>
      </c>
      <c r="I133" s="208">
        <v>110</v>
      </c>
      <c r="J133" s="208">
        <v>107</v>
      </c>
      <c r="K133" s="208">
        <v>107</v>
      </c>
      <c r="L133" s="208">
        <v>107</v>
      </c>
      <c r="M133" s="208">
        <v>107</v>
      </c>
      <c r="N133" s="208">
        <v>107</v>
      </c>
      <c r="O133" s="208">
        <v>107</v>
      </c>
      <c r="P133" s="9">
        <f>ROUND((D133*$D$107+E133*$E$107+F133*$F$107+G133*$G$107+H133*$H$107+I133*$I$107+J133*$J$107+K133*$K$107+L133*$L$107+M133*$M$107+N133*$N$107+O133*$O$107)/$P$107,1)</f>
        <v>107.8</v>
      </c>
    </row>
    <row r="134" spans="2:16" ht="18" x14ac:dyDescent="0.25">
      <c r="B134" s="34" t="s">
        <v>148</v>
      </c>
      <c r="C134" s="35" t="s">
        <v>81</v>
      </c>
      <c r="D134" s="2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238"/>
      <c r="P134" s="138">
        <f t="shared" si="78"/>
        <v>0</v>
      </c>
    </row>
    <row r="135" spans="2:16" ht="15.75" x14ac:dyDescent="0.25">
      <c r="B135" s="34" t="s">
        <v>70</v>
      </c>
      <c r="C135" s="35" t="s">
        <v>10</v>
      </c>
      <c r="D135" s="239"/>
      <c r="E135" s="236"/>
      <c r="F135" s="137"/>
      <c r="G135" s="137"/>
      <c r="H135" s="137">
        <v>130.80000000000001</v>
      </c>
      <c r="I135" s="137">
        <v>128.80000000000001</v>
      </c>
      <c r="J135" s="137">
        <v>134.19999999999999</v>
      </c>
      <c r="K135" s="137">
        <v>133.9</v>
      </c>
      <c r="L135" s="137">
        <v>134</v>
      </c>
      <c r="M135" s="137">
        <v>134</v>
      </c>
      <c r="N135" s="137">
        <v>134.19999999999999</v>
      </c>
      <c r="O135" s="137">
        <v>133.30000000000001</v>
      </c>
      <c r="P135" s="138">
        <f t="shared" si="77"/>
        <v>132.9</v>
      </c>
    </row>
    <row r="136" spans="2:16" ht="15.75" x14ac:dyDescent="0.25">
      <c r="B136" s="34" t="s">
        <v>71</v>
      </c>
      <c r="C136" s="35" t="s">
        <v>10</v>
      </c>
      <c r="D136" s="209"/>
      <c r="E136" s="20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8">
        <f>ROUND((D136*$D$107+E136*$E$107+F136*$F$107+G136*$G$107+H136*$H$107+I136*$I$107+J136*$J$107+K136*$K$107+L136*$L$107+M136*$M$107+N136*$N$107+O136*$O$107)/$P$107,0)</f>
        <v>0</v>
      </c>
    </row>
    <row r="137" spans="2:16" ht="15.75" x14ac:dyDescent="0.25">
      <c r="B137" s="34" t="s">
        <v>72</v>
      </c>
      <c r="C137" s="35" t="s">
        <v>10</v>
      </c>
      <c r="D137" s="7"/>
      <c r="E137" s="7"/>
      <c r="F137" s="7"/>
      <c r="G137" s="7"/>
      <c r="H137" s="7">
        <v>14</v>
      </c>
      <c r="I137" s="7">
        <v>14</v>
      </c>
      <c r="J137" s="7">
        <v>12</v>
      </c>
      <c r="K137" s="7">
        <v>13</v>
      </c>
      <c r="L137" s="7">
        <v>12</v>
      </c>
      <c r="M137" s="7">
        <v>13</v>
      </c>
      <c r="N137" s="7">
        <v>12</v>
      </c>
      <c r="O137" s="7">
        <v>12</v>
      </c>
      <c r="P137" s="8">
        <f>ROUND((D137*$D$107+E137*$E$107+F137*$F$107+G137*$G$107+H137*$H$107+I137*$I$107+J137*$J$107+K137*$K$107+L137*$L$107+M137*$M$107+N137*$N$107+O137*$O$107)/$P$107,0)</f>
        <v>13</v>
      </c>
    </row>
    <row r="138" spans="2:16" ht="15.75" x14ac:dyDescent="0.25">
      <c r="B138" s="34" t="s">
        <v>75</v>
      </c>
      <c r="C138" s="35" t="s">
        <v>10</v>
      </c>
      <c r="D138" s="137"/>
      <c r="E138" s="137"/>
      <c r="F138" s="137"/>
      <c r="G138" s="137"/>
      <c r="H138" s="137">
        <v>10.5</v>
      </c>
      <c r="I138" s="137">
        <v>10.199999999999999</v>
      </c>
      <c r="J138" s="137">
        <v>10.5</v>
      </c>
      <c r="K138" s="137">
        <v>10.5</v>
      </c>
      <c r="L138" s="137">
        <v>10.199999999999999</v>
      </c>
      <c r="M138" s="137">
        <v>8.6999999999999993</v>
      </c>
      <c r="N138" s="137">
        <v>10.199999999999999</v>
      </c>
      <c r="O138" s="137">
        <v>10.5</v>
      </c>
      <c r="P138" s="138">
        <f>ROUND((D138*$D$107+E138*$E$107+F138*$F$107+G138*$G$107+H138*$H$107+I138*$I$107+J138*$J$107+K138*$K$107+L138*$L$107+M138*$M$107+N138*$N$107+O138*$O$107)/$P$107,1)</f>
        <v>10.199999999999999</v>
      </c>
    </row>
    <row r="139" spans="2:16" ht="15.75" x14ac:dyDescent="0.25">
      <c r="B139" s="34" t="s">
        <v>82</v>
      </c>
      <c r="C139" s="35" t="s">
        <v>10</v>
      </c>
      <c r="D139" s="137"/>
      <c r="E139" s="137"/>
      <c r="F139" s="137"/>
      <c r="G139" s="137"/>
      <c r="H139" s="137">
        <v>14</v>
      </c>
      <c r="I139" s="137">
        <v>14</v>
      </c>
      <c r="J139" s="137">
        <v>14</v>
      </c>
      <c r="K139" s="137">
        <v>14</v>
      </c>
      <c r="L139" s="137">
        <v>14</v>
      </c>
      <c r="M139" s="137">
        <v>14</v>
      </c>
      <c r="N139" s="137">
        <v>14</v>
      </c>
      <c r="O139" s="137">
        <v>14</v>
      </c>
      <c r="P139" s="138">
        <f>ROUND((D139*$D$107+E139*$E$107+F139*$F$107+G139*$G$107+H139*$H$107+I139*$I$107+J139*$J$107+K139*$K$107+L139*$L$107+M139*$M$107+N139*$N$107+O139*$O$107)/$P$107,1)</f>
        <v>14</v>
      </c>
    </row>
    <row r="140" spans="2:16" ht="16.5" thickBot="1" x14ac:dyDescent="0.3">
      <c r="B140" s="89" t="s">
        <v>76</v>
      </c>
      <c r="C140" s="110" t="s">
        <v>10</v>
      </c>
      <c r="D140" s="129"/>
      <c r="E140" s="129"/>
      <c r="F140" s="129"/>
      <c r="G140" s="129"/>
      <c r="H140" s="129">
        <v>365</v>
      </c>
      <c r="I140" s="129">
        <v>356</v>
      </c>
      <c r="J140" s="129">
        <v>322</v>
      </c>
      <c r="K140" s="129">
        <v>324</v>
      </c>
      <c r="L140" s="129">
        <v>322</v>
      </c>
      <c r="M140" s="129">
        <v>317</v>
      </c>
      <c r="N140" s="129">
        <v>323</v>
      </c>
      <c r="O140" s="129">
        <v>324</v>
      </c>
      <c r="P140" s="123">
        <f>ROUND((D140*$D$107+E140*$E$107+F140*$F$107+G140*$G$107+H140*$H$107+I140*$I$107+J140*$J$107+K140*$K$107+L140*$L$107+M140*$M$107+N140*$N$107+O140*$O$107)/$P$107,1)</f>
        <v>331.9</v>
      </c>
    </row>
    <row r="141" spans="2:16" ht="15.75" x14ac:dyDescent="0.25">
      <c r="B141" s="104"/>
      <c r="C141" s="18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24"/>
    </row>
    <row r="142" spans="2:16" ht="16.5" thickBot="1" x14ac:dyDescent="0.3">
      <c r="B142" s="15" t="s">
        <v>77</v>
      </c>
      <c r="C142" s="18" t="s">
        <v>32</v>
      </c>
      <c r="D142" s="240"/>
      <c r="E142" s="240"/>
      <c r="F142" s="240"/>
      <c r="G142" s="240"/>
      <c r="H142" s="240">
        <v>57.56</v>
      </c>
      <c r="I142" s="240">
        <v>57.88</v>
      </c>
      <c r="J142" s="240">
        <v>59.08</v>
      </c>
      <c r="K142" s="240">
        <v>59</v>
      </c>
      <c r="L142" s="240">
        <v>59.07</v>
      </c>
      <c r="M142" s="240">
        <v>59.26</v>
      </c>
      <c r="N142" s="240">
        <v>59.03</v>
      </c>
      <c r="O142" s="240">
        <v>59</v>
      </c>
      <c r="P142" s="148">
        <f>ROUND((D142*$D$107+E142*$E$107+F142*$F$107+G142*$G$107+H142*$H$107+I142*$I$107+J142*$J$107+K142*$K$107+L142*$L$107+M142*$M$107+N142*$N$107+O142*$O$107)/$P$107,2)</f>
        <v>58.72</v>
      </c>
    </row>
    <row r="143" spans="2:16" ht="15.75" x14ac:dyDescent="0.25">
      <c r="B143" s="19" t="s">
        <v>78</v>
      </c>
      <c r="C143" s="102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26"/>
    </row>
    <row r="144" spans="2:16" ht="16.5" thickBot="1" x14ac:dyDescent="0.3">
      <c r="B144" s="112" t="s">
        <v>79</v>
      </c>
      <c r="C144" s="90" t="s">
        <v>32</v>
      </c>
      <c r="D144" s="119"/>
      <c r="E144" s="119"/>
      <c r="F144" s="119"/>
      <c r="G144" s="119"/>
      <c r="H144" s="119">
        <f t="shared" ref="H144:J144" si="80">H142</f>
        <v>57.56</v>
      </c>
      <c r="I144" s="119">
        <f t="shared" si="80"/>
        <v>57.88</v>
      </c>
      <c r="J144" s="119">
        <f t="shared" si="80"/>
        <v>59.08</v>
      </c>
      <c r="K144" s="119">
        <f t="shared" ref="K144:O144" si="81">K142</f>
        <v>59</v>
      </c>
      <c r="L144" s="119">
        <f t="shared" si="81"/>
        <v>59.07</v>
      </c>
      <c r="M144" s="119">
        <f t="shared" si="81"/>
        <v>59.26</v>
      </c>
      <c r="N144" s="119">
        <f t="shared" si="81"/>
        <v>59.03</v>
      </c>
      <c r="O144" s="119">
        <f t="shared" si="81"/>
        <v>59</v>
      </c>
      <c r="P144" s="118">
        <f>ROUND((D144*$D$107+E144*$E$107+F144*$F$107+G144*$G$107+H144*$H$107+I144*$I$107+J144*$J$107+K144*$K$107+L144*$L$107+M144*$M$107+N144*$N$107+O144*$O$107)/$P$107,2)</f>
        <v>58.72</v>
      </c>
    </row>
    <row r="145" spans="2:16" ht="15.75" x14ac:dyDescent="0.25">
      <c r="B145" s="159"/>
      <c r="C145" s="159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80"/>
    </row>
    <row r="146" spans="2:16" ht="15.75" x14ac:dyDescent="0.25">
      <c r="B146" s="25"/>
      <c r="C146" s="25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109"/>
    </row>
    <row r="147" spans="2:16" ht="15.75" x14ac:dyDescent="0.25">
      <c r="B147" s="25" t="s">
        <v>87</v>
      </c>
      <c r="C147" s="17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21"/>
    </row>
    <row r="148" spans="2:16" ht="16.5" thickBot="1" x14ac:dyDescent="0.3">
      <c r="B148" s="24"/>
      <c r="C148" s="86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159"/>
    </row>
    <row r="149" spans="2:16" ht="16.5" thickBot="1" x14ac:dyDescent="0.3">
      <c r="B149" s="29" t="s">
        <v>4</v>
      </c>
      <c r="C149" s="29" t="s">
        <v>5</v>
      </c>
      <c r="D149" s="30"/>
      <c r="E149" s="30"/>
      <c r="F149" s="30"/>
      <c r="G149" s="30"/>
      <c r="H149" s="30">
        <v>43952</v>
      </c>
      <c r="I149" s="30">
        <v>43983</v>
      </c>
      <c r="J149" s="30">
        <v>44013</v>
      </c>
      <c r="K149" s="30">
        <v>44044</v>
      </c>
      <c r="L149" s="30">
        <v>44075</v>
      </c>
      <c r="M149" s="30">
        <v>44105</v>
      </c>
      <c r="N149" s="30">
        <v>44136</v>
      </c>
      <c r="O149" s="30">
        <v>44166</v>
      </c>
      <c r="P149" s="6" t="s">
        <v>150</v>
      </c>
    </row>
    <row r="150" spans="2:16" ht="15.75" x14ac:dyDescent="0.25">
      <c r="B150" s="81" t="s">
        <v>45</v>
      </c>
      <c r="C150" s="31" t="s">
        <v>7</v>
      </c>
      <c r="D150" s="204"/>
      <c r="E150" s="204"/>
      <c r="F150" s="204"/>
      <c r="G150" s="204"/>
      <c r="H150" s="204">
        <v>295.00000000000011</v>
      </c>
      <c r="I150" s="204">
        <v>343.49999999999989</v>
      </c>
      <c r="J150" s="204">
        <v>358.1</v>
      </c>
      <c r="K150" s="204">
        <v>358.1</v>
      </c>
      <c r="L150" s="204">
        <v>346.5</v>
      </c>
      <c r="M150" s="204">
        <v>348.5</v>
      </c>
      <c r="N150" s="204">
        <v>341</v>
      </c>
      <c r="O150" s="204">
        <v>322.89999999999998</v>
      </c>
      <c r="P150" s="166">
        <f>SUM(D150:O150)</f>
        <v>2713.6</v>
      </c>
    </row>
    <row r="151" spans="2:16" ht="15.75" x14ac:dyDescent="0.25">
      <c r="B151" s="83" t="s">
        <v>46</v>
      </c>
      <c r="C151" s="35" t="s">
        <v>47</v>
      </c>
      <c r="D151" s="205"/>
      <c r="E151" s="205"/>
      <c r="F151" s="205"/>
      <c r="G151" s="205"/>
      <c r="H151" s="205">
        <f>H150/(31-4)*1000</f>
        <v>10925.925925925931</v>
      </c>
      <c r="I151" s="205">
        <f>I150/30*1000</f>
        <v>11449.999999999996</v>
      </c>
      <c r="J151" s="205">
        <f t="shared" ref="J151:K151" si="82">J150/31*1000</f>
        <v>11551.612903225807</v>
      </c>
      <c r="K151" s="205">
        <f t="shared" si="82"/>
        <v>11551.612903225807</v>
      </c>
      <c r="L151" s="205">
        <f>L150/(30-1)*1000</f>
        <v>11948.275862068966</v>
      </c>
      <c r="M151" s="205">
        <f>M150/31*1000</f>
        <v>11241.935483870968</v>
      </c>
      <c r="N151" s="205">
        <f>N150/30*1000</f>
        <v>11366.666666666668</v>
      </c>
      <c r="O151" s="205">
        <f>O150/(31-2)*1000</f>
        <v>11134.482758620688</v>
      </c>
      <c r="P151" s="206">
        <f>P150/(275-4-1-2)*1000</f>
        <v>10125.373134328358</v>
      </c>
    </row>
    <row r="152" spans="2:16" ht="15.75" x14ac:dyDescent="0.25">
      <c r="B152" s="34" t="s">
        <v>8</v>
      </c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8"/>
    </row>
    <row r="153" spans="2:16" ht="15.75" x14ac:dyDescent="0.25">
      <c r="B153" s="34" t="s">
        <v>48</v>
      </c>
      <c r="C153" s="35" t="s">
        <v>10</v>
      </c>
      <c r="D153" s="7"/>
      <c r="E153" s="7"/>
      <c r="F153" s="7"/>
      <c r="G153" s="7"/>
      <c r="H153" s="7">
        <v>1080</v>
      </c>
      <c r="I153" s="7">
        <v>1043</v>
      </c>
      <c r="J153" s="7">
        <v>1087</v>
      </c>
      <c r="K153" s="7">
        <v>1085</v>
      </c>
      <c r="L153" s="7">
        <v>1086</v>
      </c>
      <c r="M153" s="7">
        <v>1083</v>
      </c>
      <c r="N153" s="7">
        <v>1088</v>
      </c>
      <c r="O153" s="7">
        <v>1087</v>
      </c>
      <c r="P153" s="121">
        <f t="shared" ref="P153:P162" si="83">ROUND((D153*$D$150+E153*$E$150+F153*$F$150+G153*$G$150+H153*$H$150+I153*$I$150+J153*$J$150+K153*$K$150+L153*$L$150+M153*$M$150+N153*$N$150+O153*$O$150)/$P$150,0)</f>
        <v>1080</v>
      </c>
    </row>
    <row r="154" spans="2:16" ht="15.75" x14ac:dyDescent="0.25">
      <c r="B154" s="34" t="s">
        <v>49</v>
      </c>
      <c r="C154" s="35" t="s">
        <v>10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8">
        <f t="shared" si="83"/>
        <v>0</v>
      </c>
    </row>
    <row r="155" spans="2:16" ht="15.75" x14ac:dyDescent="0.25">
      <c r="B155" s="34" t="s">
        <v>51</v>
      </c>
      <c r="C155" s="35" t="s">
        <v>10</v>
      </c>
      <c r="D155" s="127"/>
      <c r="E155" s="127"/>
      <c r="F155" s="127"/>
      <c r="G155" s="127"/>
      <c r="H155" s="127">
        <v>4</v>
      </c>
      <c r="I155" s="127">
        <v>10</v>
      </c>
      <c r="J155" s="127">
        <v>8</v>
      </c>
      <c r="K155" s="127">
        <v>8</v>
      </c>
      <c r="L155" s="127">
        <v>8</v>
      </c>
      <c r="M155" s="127">
        <v>8</v>
      </c>
      <c r="N155" s="127">
        <v>8</v>
      </c>
      <c r="O155" s="127">
        <v>3</v>
      </c>
      <c r="P155" s="121">
        <f t="shared" si="83"/>
        <v>7</v>
      </c>
    </row>
    <row r="156" spans="2:16" ht="15.75" x14ac:dyDescent="0.25">
      <c r="B156" s="34" t="s">
        <v>109</v>
      </c>
      <c r="C156" s="35" t="s">
        <v>10</v>
      </c>
      <c r="D156" s="127"/>
      <c r="E156" s="127"/>
      <c r="F156" s="127"/>
      <c r="G156" s="127"/>
      <c r="H156" s="127">
        <v>5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5</v>
      </c>
      <c r="P156" s="121">
        <f>ROUND((D156*$D$150+E156*$E$150+F156*$F$150+G156*$G$150+H156*$H$150+I156*$I$150+J156*$J$150+K156*$K$150+L156*$L$150+M156*$M$150+N156*$N$150+O156*$O$150)/$P$150,0)</f>
        <v>1</v>
      </c>
    </row>
    <row r="157" spans="2:16" ht="15.75" x14ac:dyDescent="0.25">
      <c r="B157" s="34" t="s">
        <v>52</v>
      </c>
      <c r="C157" s="35" t="s">
        <v>10</v>
      </c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1">
        <f t="shared" si="83"/>
        <v>0</v>
      </c>
    </row>
    <row r="158" spans="2:16" ht="15.75" x14ac:dyDescent="0.25">
      <c r="B158" s="34" t="s">
        <v>53</v>
      </c>
      <c r="C158" s="35" t="s">
        <v>10</v>
      </c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1">
        <f t="shared" si="83"/>
        <v>0</v>
      </c>
    </row>
    <row r="159" spans="2:16" ht="15.75" x14ac:dyDescent="0.25">
      <c r="B159" s="34" t="s">
        <v>54</v>
      </c>
      <c r="C159" s="35" t="s">
        <v>10</v>
      </c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1">
        <f t="shared" si="83"/>
        <v>0</v>
      </c>
    </row>
    <row r="160" spans="2:16" ht="15.75" x14ac:dyDescent="0.25">
      <c r="B160" s="34" t="s">
        <v>55</v>
      </c>
      <c r="C160" s="35" t="s">
        <v>10</v>
      </c>
      <c r="D160" s="127"/>
      <c r="E160" s="127"/>
      <c r="F160" s="127"/>
      <c r="G160" s="127"/>
      <c r="H160" s="127">
        <v>566</v>
      </c>
      <c r="I160" s="127">
        <v>549</v>
      </c>
      <c r="J160" s="127">
        <v>474</v>
      </c>
      <c r="K160" s="127">
        <v>479</v>
      </c>
      <c r="L160" s="127">
        <v>474</v>
      </c>
      <c r="M160" s="127">
        <v>470</v>
      </c>
      <c r="N160" s="127">
        <v>473</v>
      </c>
      <c r="O160" s="127">
        <v>489</v>
      </c>
      <c r="P160" s="121">
        <f t="shared" si="83"/>
        <v>495</v>
      </c>
    </row>
    <row r="161" spans="2:16" ht="15.75" x14ac:dyDescent="0.25">
      <c r="B161" s="34" t="s">
        <v>80</v>
      </c>
      <c r="C161" s="35" t="s">
        <v>10</v>
      </c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1">
        <f t="shared" si="83"/>
        <v>0</v>
      </c>
    </row>
    <row r="162" spans="2:16" ht="15.75" x14ac:dyDescent="0.25">
      <c r="B162" s="34" t="s">
        <v>57</v>
      </c>
      <c r="C162" s="35" t="s">
        <v>10</v>
      </c>
      <c r="D162" s="127"/>
      <c r="E162" s="127"/>
      <c r="F162" s="127"/>
      <c r="G162" s="127"/>
      <c r="H162" s="127">
        <v>0</v>
      </c>
      <c r="I162" s="127">
        <v>57</v>
      </c>
      <c r="J162" s="127">
        <v>56</v>
      </c>
      <c r="K162" s="127">
        <v>56</v>
      </c>
      <c r="L162" s="127">
        <v>58</v>
      </c>
      <c r="M162" s="127">
        <v>66</v>
      </c>
      <c r="N162" s="127">
        <v>58</v>
      </c>
      <c r="O162" s="127">
        <v>35</v>
      </c>
      <c r="P162" s="121">
        <f t="shared" si="83"/>
        <v>49</v>
      </c>
    </row>
    <row r="163" spans="2:16" ht="15.75" x14ac:dyDescent="0.25">
      <c r="B163" s="39" t="s">
        <v>58</v>
      </c>
      <c r="C163" s="40" t="s">
        <v>10</v>
      </c>
      <c r="D163" s="222"/>
      <c r="E163" s="222"/>
      <c r="F163" s="222"/>
      <c r="G163" s="222"/>
      <c r="H163" s="222">
        <v>1653</v>
      </c>
      <c r="I163" s="222">
        <v>1656</v>
      </c>
      <c r="J163" s="222">
        <v>1626</v>
      </c>
      <c r="K163" s="222">
        <v>1628</v>
      </c>
      <c r="L163" s="222">
        <v>1627</v>
      </c>
      <c r="M163" s="222">
        <v>1627</v>
      </c>
      <c r="N163" s="222">
        <v>1629</v>
      </c>
      <c r="O163" s="222">
        <v>1615</v>
      </c>
      <c r="P163" s="9">
        <f>SUM(P153:P162)</f>
        <v>1632</v>
      </c>
    </row>
    <row r="164" spans="2:16" ht="15.75" x14ac:dyDescent="0.25">
      <c r="B164" s="34" t="s">
        <v>59</v>
      </c>
      <c r="C164" s="35" t="s">
        <v>10</v>
      </c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8">
        <f t="shared" ref="P164:P179" si="84">ROUND((D164*$D$150+E164*$E$150+F164*$F$150+G164*$G$150+H164*$H$150+I164*$I$150+J164*$J$150+K164*$K$150+L164*$L$150+M164*$M$150+N164*$N$150+O164*$O$150)/$P$150,1)</f>
        <v>0</v>
      </c>
    </row>
    <row r="165" spans="2:16" ht="15.75" x14ac:dyDescent="0.25">
      <c r="B165" s="39" t="s">
        <v>162</v>
      </c>
      <c r="C165" s="40" t="s">
        <v>10</v>
      </c>
      <c r="D165" s="241"/>
      <c r="E165" s="241"/>
      <c r="F165" s="241"/>
      <c r="G165" s="241"/>
      <c r="H165" s="241">
        <v>340</v>
      </c>
      <c r="I165" s="241">
        <v>322</v>
      </c>
      <c r="J165" s="241">
        <v>316</v>
      </c>
      <c r="K165" s="241">
        <v>330</v>
      </c>
      <c r="L165" s="241">
        <v>316</v>
      </c>
      <c r="M165" s="241">
        <v>316</v>
      </c>
      <c r="N165" s="241">
        <v>316</v>
      </c>
      <c r="O165" s="241">
        <v>324</v>
      </c>
      <c r="P165" s="9">
        <f>ROUND((D165*$D$150+E165*$E$150+F165*$F$150+G165*$G$150+H165*$H$150+I165*$I$150+J165*$J$150+K165*$K$150+L165*$L$150+M165*$M$150+N165*$N$150+O165*$O$150)/$P$150,1)</f>
        <v>322.2</v>
      </c>
    </row>
    <row r="166" spans="2:16" ht="15.75" x14ac:dyDescent="0.25">
      <c r="B166" s="34" t="s">
        <v>62</v>
      </c>
      <c r="C166" s="35" t="s">
        <v>10</v>
      </c>
      <c r="D166" s="242"/>
      <c r="E166" s="242"/>
      <c r="F166" s="242"/>
      <c r="G166" s="242"/>
      <c r="H166" s="242">
        <v>15</v>
      </c>
      <c r="I166" s="242">
        <v>27</v>
      </c>
      <c r="J166" s="242">
        <v>27</v>
      </c>
      <c r="K166" s="242">
        <v>27</v>
      </c>
      <c r="L166" s="242">
        <v>27</v>
      </c>
      <c r="M166" s="242">
        <v>29</v>
      </c>
      <c r="N166" s="242">
        <v>25</v>
      </c>
      <c r="O166" s="242">
        <v>15</v>
      </c>
      <c r="P166" s="8">
        <f t="shared" ref="P166:P173" si="85">ROUND((D166*$D$150+E166*$E$150+F166*$F$150+G166*$G$150+H166*$H$150+I166*$I$150+J166*$J$150+K166*$K$150+L166*$L$150+M166*$M$150+N166*$N$150+O166*$O$150)/$P$150,1)</f>
        <v>24.3</v>
      </c>
    </row>
    <row r="167" spans="2:16" ht="15.75" x14ac:dyDescent="0.25">
      <c r="B167" s="36" t="s">
        <v>158</v>
      </c>
      <c r="C167" s="35" t="s">
        <v>10</v>
      </c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8">
        <f t="shared" si="85"/>
        <v>0</v>
      </c>
    </row>
    <row r="168" spans="2:16" ht="15.75" x14ac:dyDescent="0.25">
      <c r="B168" s="34" t="s">
        <v>86</v>
      </c>
      <c r="C168" s="35" t="s">
        <v>10</v>
      </c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8">
        <f t="shared" si="85"/>
        <v>0</v>
      </c>
    </row>
    <row r="169" spans="2:16" ht="15.75" x14ac:dyDescent="0.25">
      <c r="B169" s="34" t="s">
        <v>143</v>
      </c>
      <c r="C169" s="35" t="s">
        <v>10</v>
      </c>
      <c r="D169" s="7"/>
      <c r="E169" s="7"/>
      <c r="F169" s="7"/>
      <c r="G169" s="7"/>
      <c r="H169" s="7">
        <f t="shared" ref="H169:O169" si="86">ROUND((H165-H166-H167-H168)*21.5/(100-21.5),0)</f>
        <v>89</v>
      </c>
      <c r="I169" s="7">
        <f t="shared" si="86"/>
        <v>81</v>
      </c>
      <c r="J169" s="7">
        <f t="shared" si="86"/>
        <v>79</v>
      </c>
      <c r="K169" s="7">
        <f t="shared" si="86"/>
        <v>83</v>
      </c>
      <c r="L169" s="7">
        <f t="shared" si="86"/>
        <v>79</v>
      </c>
      <c r="M169" s="7">
        <f t="shared" si="86"/>
        <v>79</v>
      </c>
      <c r="N169" s="7">
        <f t="shared" si="86"/>
        <v>80</v>
      </c>
      <c r="O169" s="7">
        <f t="shared" si="86"/>
        <v>85</v>
      </c>
      <c r="P169" s="8">
        <f t="shared" si="85"/>
        <v>81.7</v>
      </c>
    </row>
    <row r="170" spans="2:16" ht="15.75" x14ac:dyDescent="0.25">
      <c r="B170" s="34" t="s">
        <v>62</v>
      </c>
      <c r="C170" s="35" t="s">
        <v>10</v>
      </c>
      <c r="D170" s="7"/>
      <c r="E170" s="7"/>
      <c r="F170" s="7"/>
      <c r="G170" s="7"/>
      <c r="H170" s="7">
        <v>44.56114649681529</v>
      </c>
      <c r="I170" s="7">
        <v>41.802638980891729</v>
      </c>
      <c r="J170" s="7">
        <v>39.564119235668784</v>
      </c>
      <c r="K170" s="7">
        <v>41.530123057324836</v>
      </c>
      <c r="L170" s="7">
        <v>39.587673375796179</v>
      </c>
      <c r="M170" s="7">
        <v>39.249260636942672</v>
      </c>
      <c r="N170" s="7">
        <v>39.871473375796178</v>
      </c>
      <c r="O170" s="7">
        <v>43.697870828025479</v>
      </c>
      <c r="P170" s="8">
        <f t="shared" si="85"/>
        <v>41.1</v>
      </c>
    </row>
    <row r="171" spans="2:16" ht="15.75" x14ac:dyDescent="0.25">
      <c r="B171" s="39" t="s">
        <v>147</v>
      </c>
      <c r="C171" s="40" t="s">
        <v>10</v>
      </c>
      <c r="D171" s="241"/>
      <c r="E171" s="241"/>
      <c r="F171" s="241"/>
      <c r="G171" s="241"/>
      <c r="H171" s="241">
        <v>120</v>
      </c>
      <c r="I171" s="241">
        <v>120</v>
      </c>
      <c r="J171" s="241">
        <v>130</v>
      </c>
      <c r="K171" s="241">
        <v>116</v>
      </c>
      <c r="L171" s="241">
        <v>130</v>
      </c>
      <c r="M171" s="241">
        <v>130</v>
      </c>
      <c r="N171" s="241">
        <v>130</v>
      </c>
      <c r="O171" s="241">
        <v>109</v>
      </c>
      <c r="P171" s="9">
        <f t="shared" si="85"/>
        <v>123.3</v>
      </c>
    </row>
    <row r="172" spans="2:16" ht="18" x14ac:dyDescent="0.25">
      <c r="B172" s="39" t="s">
        <v>145</v>
      </c>
      <c r="C172" s="40" t="s">
        <v>68</v>
      </c>
      <c r="D172" s="241"/>
      <c r="E172" s="241"/>
      <c r="F172" s="241"/>
      <c r="G172" s="241"/>
      <c r="H172" s="241">
        <v>60</v>
      </c>
      <c r="I172" s="241">
        <v>60</v>
      </c>
      <c r="J172" s="241">
        <v>57</v>
      </c>
      <c r="K172" s="241">
        <v>61</v>
      </c>
      <c r="L172" s="241">
        <v>57</v>
      </c>
      <c r="M172" s="241">
        <v>57</v>
      </c>
      <c r="N172" s="241">
        <v>57</v>
      </c>
      <c r="O172" s="241">
        <v>61</v>
      </c>
      <c r="P172" s="9">
        <f t="shared" si="85"/>
        <v>58.7</v>
      </c>
    </row>
    <row r="173" spans="2:16" ht="18" x14ac:dyDescent="0.25">
      <c r="B173" s="39" t="s">
        <v>146</v>
      </c>
      <c r="C173" s="40" t="s">
        <v>68</v>
      </c>
      <c r="D173" s="241"/>
      <c r="E173" s="241"/>
      <c r="F173" s="241"/>
      <c r="G173" s="241"/>
      <c r="H173" s="241">
        <v>113</v>
      </c>
      <c r="I173" s="241">
        <v>113</v>
      </c>
      <c r="J173" s="241">
        <v>113</v>
      </c>
      <c r="K173" s="241">
        <v>108</v>
      </c>
      <c r="L173" s="241">
        <v>108</v>
      </c>
      <c r="M173" s="241">
        <v>108</v>
      </c>
      <c r="N173" s="241">
        <v>108</v>
      </c>
      <c r="O173" s="241">
        <v>108</v>
      </c>
      <c r="P173" s="9">
        <f t="shared" si="85"/>
        <v>109.8</v>
      </c>
    </row>
    <row r="174" spans="2:16" ht="15.75" x14ac:dyDescent="0.25">
      <c r="B174" s="34" t="s">
        <v>70</v>
      </c>
      <c r="C174" s="35" t="s">
        <v>10</v>
      </c>
      <c r="D174" s="210"/>
      <c r="E174" s="210"/>
      <c r="F174" s="210"/>
      <c r="G174" s="210"/>
      <c r="H174" s="210">
        <v>87.5</v>
      </c>
      <c r="I174" s="210">
        <v>84.5</v>
      </c>
      <c r="J174" s="210">
        <v>88.2</v>
      </c>
      <c r="K174" s="210">
        <v>87.9</v>
      </c>
      <c r="L174" s="210">
        <v>88.1</v>
      </c>
      <c r="M174" s="210">
        <v>87.8</v>
      </c>
      <c r="N174" s="210">
        <v>88.2</v>
      </c>
      <c r="O174" s="210">
        <v>88.1</v>
      </c>
      <c r="P174" s="138">
        <f t="shared" si="84"/>
        <v>87.5</v>
      </c>
    </row>
    <row r="175" spans="2:16" ht="15.75" x14ac:dyDescent="0.25">
      <c r="B175" s="34" t="s">
        <v>71</v>
      </c>
      <c r="C175" s="35" t="s">
        <v>10</v>
      </c>
      <c r="D175" s="7"/>
      <c r="E175" s="7"/>
      <c r="F175" s="7"/>
      <c r="G175" s="7"/>
      <c r="H175" s="7">
        <f t="shared" ref="H175:J175" si="87">H154</f>
        <v>0</v>
      </c>
      <c r="I175" s="7">
        <f t="shared" si="87"/>
        <v>0</v>
      </c>
      <c r="J175" s="7">
        <f t="shared" si="87"/>
        <v>0</v>
      </c>
      <c r="K175" s="7">
        <f t="shared" ref="K175:O175" si="88">K154</f>
        <v>0</v>
      </c>
      <c r="L175" s="7">
        <f t="shared" si="88"/>
        <v>0</v>
      </c>
      <c r="M175" s="7">
        <f t="shared" si="88"/>
        <v>0</v>
      </c>
      <c r="N175" s="7">
        <f t="shared" si="88"/>
        <v>0</v>
      </c>
      <c r="O175" s="7">
        <f t="shared" si="88"/>
        <v>0</v>
      </c>
      <c r="P175" s="8">
        <f t="shared" si="84"/>
        <v>0</v>
      </c>
    </row>
    <row r="176" spans="2:16" ht="15.75" x14ac:dyDescent="0.25">
      <c r="B176" s="34" t="s">
        <v>72</v>
      </c>
      <c r="C176" s="35" t="s">
        <v>10</v>
      </c>
      <c r="D176" s="7"/>
      <c r="E176" s="7"/>
      <c r="F176" s="7"/>
      <c r="G176" s="7"/>
      <c r="H176" s="7">
        <v>15</v>
      </c>
      <c r="I176" s="7">
        <v>14</v>
      </c>
      <c r="J176" s="7">
        <v>12</v>
      </c>
      <c r="K176" s="7">
        <v>13</v>
      </c>
      <c r="L176" s="7">
        <v>12</v>
      </c>
      <c r="M176" s="7">
        <v>12</v>
      </c>
      <c r="N176" s="7">
        <v>12</v>
      </c>
      <c r="O176" s="7">
        <v>13</v>
      </c>
      <c r="P176" s="138">
        <f t="shared" si="84"/>
        <v>12.8</v>
      </c>
    </row>
    <row r="177" spans="2:16" ht="15.75" x14ac:dyDescent="0.25">
      <c r="B177" s="34" t="s">
        <v>75</v>
      </c>
      <c r="C177" s="35" t="s">
        <v>10</v>
      </c>
      <c r="D177" s="137"/>
      <c r="E177" s="137"/>
      <c r="F177" s="137"/>
      <c r="G177" s="137"/>
      <c r="H177" s="137">
        <v>18.2</v>
      </c>
      <c r="I177" s="137">
        <v>19.899999999999999</v>
      </c>
      <c r="J177" s="137">
        <v>21.3</v>
      </c>
      <c r="K177" s="137">
        <v>21.3</v>
      </c>
      <c r="L177" s="137">
        <v>20.8</v>
      </c>
      <c r="M177" s="137">
        <v>21</v>
      </c>
      <c r="N177" s="137">
        <v>20.8</v>
      </c>
      <c r="O177" s="137">
        <v>19.899999999999999</v>
      </c>
      <c r="P177" s="138">
        <f t="shared" si="84"/>
        <v>20.5</v>
      </c>
    </row>
    <row r="178" spans="2:16" ht="15.75" x14ac:dyDescent="0.25">
      <c r="B178" s="34" t="s">
        <v>82</v>
      </c>
      <c r="C178" s="35" t="s">
        <v>10</v>
      </c>
      <c r="D178" s="137"/>
      <c r="E178" s="137"/>
      <c r="F178" s="137"/>
      <c r="G178" s="137"/>
      <c r="H178" s="137">
        <v>17</v>
      </c>
      <c r="I178" s="137">
        <v>17</v>
      </c>
      <c r="J178" s="137">
        <v>17</v>
      </c>
      <c r="K178" s="137">
        <v>17</v>
      </c>
      <c r="L178" s="137">
        <v>17</v>
      </c>
      <c r="M178" s="137">
        <v>17</v>
      </c>
      <c r="N178" s="137">
        <v>17</v>
      </c>
      <c r="O178" s="137">
        <v>17</v>
      </c>
      <c r="P178" s="138">
        <f t="shared" si="84"/>
        <v>17</v>
      </c>
    </row>
    <row r="179" spans="2:16" ht="16.5" thickBot="1" x14ac:dyDescent="0.3">
      <c r="B179" s="89" t="s">
        <v>76</v>
      </c>
      <c r="C179" s="110" t="s">
        <v>10</v>
      </c>
      <c r="D179" s="129"/>
      <c r="E179" s="129"/>
      <c r="F179" s="129"/>
      <c r="G179" s="129"/>
      <c r="H179" s="129">
        <v>357</v>
      </c>
      <c r="I179" s="129">
        <v>359</v>
      </c>
      <c r="J179" s="129">
        <v>324</v>
      </c>
      <c r="K179" s="129">
        <v>327</v>
      </c>
      <c r="L179" s="129">
        <v>325</v>
      </c>
      <c r="M179" s="129">
        <v>326</v>
      </c>
      <c r="N179" s="129">
        <v>326</v>
      </c>
      <c r="O179" s="129">
        <v>319</v>
      </c>
      <c r="P179" s="123">
        <f t="shared" si="84"/>
        <v>332.5</v>
      </c>
    </row>
    <row r="180" spans="2:16" ht="15.75" x14ac:dyDescent="0.25">
      <c r="B180" s="104"/>
      <c r="C180" s="18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24"/>
    </row>
    <row r="181" spans="2:16" ht="16.5" thickBot="1" x14ac:dyDescent="0.3">
      <c r="B181" s="15" t="s">
        <v>77</v>
      </c>
      <c r="C181" s="18" t="s">
        <v>32</v>
      </c>
      <c r="D181" s="240"/>
      <c r="E181" s="240"/>
      <c r="F181" s="240"/>
      <c r="G181" s="240"/>
      <c r="H181" s="240">
        <v>57.92</v>
      </c>
      <c r="I181" s="240">
        <v>57.89</v>
      </c>
      <c r="J181" s="240">
        <v>59.08</v>
      </c>
      <c r="K181" s="240">
        <v>59</v>
      </c>
      <c r="L181" s="240">
        <v>59.06</v>
      </c>
      <c r="M181" s="240">
        <v>59.02</v>
      </c>
      <c r="N181" s="240">
        <v>59.02</v>
      </c>
      <c r="O181" s="240">
        <v>59.28</v>
      </c>
      <c r="P181" s="148">
        <f>ROUND((D181*$D$150+E181*$E$150+F181*$F$150+G181*$G$150+H181*$H$150+I181*$I$150+J181*$J$150+K181*$K$150+L181*$L$150+M181*$M$150+N181*$N$150+O181*$O$150)/$P$150,2)</f>
        <v>58.8</v>
      </c>
    </row>
    <row r="182" spans="2:16" ht="15.75" x14ac:dyDescent="0.25">
      <c r="B182" s="19" t="s">
        <v>78</v>
      </c>
      <c r="C182" s="102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26"/>
    </row>
    <row r="183" spans="2:16" ht="16.5" thickBot="1" x14ac:dyDescent="0.3">
      <c r="B183" s="112" t="s">
        <v>79</v>
      </c>
      <c r="C183" s="90" t="s">
        <v>32</v>
      </c>
      <c r="D183" s="119"/>
      <c r="E183" s="119"/>
      <c r="F183" s="119"/>
      <c r="G183" s="119"/>
      <c r="H183" s="119">
        <f t="shared" ref="H183:J183" si="89">H181</f>
        <v>57.92</v>
      </c>
      <c r="I183" s="119">
        <f t="shared" si="89"/>
        <v>57.89</v>
      </c>
      <c r="J183" s="119">
        <f t="shared" si="89"/>
        <v>59.08</v>
      </c>
      <c r="K183" s="119">
        <f t="shared" ref="K183:O183" si="90">K181</f>
        <v>59</v>
      </c>
      <c r="L183" s="119">
        <f t="shared" si="90"/>
        <v>59.06</v>
      </c>
      <c r="M183" s="119">
        <f t="shared" si="90"/>
        <v>59.02</v>
      </c>
      <c r="N183" s="119">
        <f t="shared" si="90"/>
        <v>59.02</v>
      </c>
      <c r="O183" s="119">
        <f t="shared" si="90"/>
        <v>59.28</v>
      </c>
      <c r="P183" s="118">
        <f>ROUND((D183*$D$150+E183*$E$150+F183*$F$150+G183*$G$150+H183*$H$150+I183*$I$150+J183*$J$150+K183*$K$150+L183*$L$150+M183*$M$150+N183*$N$150+O183*$O$150)/$P$150,2)</f>
        <v>58.8</v>
      </c>
    </row>
    <row r="184" spans="2:16" ht="15.75" x14ac:dyDescent="0.25">
      <c r="B184" s="312" t="s">
        <v>161</v>
      </c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</row>
    <row r="185" spans="2:16" ht="18" customHeight="1" x14ac:dyDescent="0.25"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</row>
    <row r="186" spans="2:16" ht="13.5" customHeight="1" x14ac:dyDescent="0.25"/>
    <row r="187" spans="2:16" ht="15.75" x14ac:dyDescent="0.25"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</row>
    <row r="188" spans="2:16" ht="15.75" x14ac:dyDescent="0.25"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2:16" ht="15.75" x14ac:dyDescent="0.25"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</row>
  </sheetData>
  <mergeCells count="3">
    <mergeCell ref="B96:P96"/>
    <mergeCell ref="B184:P184"/>
    <mergeCell ref="B185:P185"/>
  </mergeCells>
  <pageMargins left="0.51181102362204722" right="0.19685039370078741" top="0.35433070866141736" bottom="0.35433070866141736" header="0.31496062992125984" footer="0.31496062992125984"/>
  <pageSetup paperSize="9" scale="47" fitToHeight="2" orientation="portrait" r:id="rId1"/>
  <rowBreaks count="1" manualBreakCount="1">
    <brk id="96" max="1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  <pageSetUpPr fitToPage="1"/>
  </sheetPr>
  <dimension ref="A1:AA190"/>
  <sheetViews>
    <sheetView view="pageBreakPreview" topLeftCell="A3" zoomScaleNormal="65" zoomScaleSheetLayoutView="100" workbookViewId="0">
      <selection activeCell="L65" sqref="L65"/>
    </sheetView>
  </sheetViews>
  <sheetFormatPr defaultColWidth="9.140625" defaultRowHeight="15" outlineLevelRow="1" x14ac:dyDescent="0.25"/>
  <cols>
    <col min="1" max="1" width="2.28515625" style="160" customWidth="1"/>
    <col min="2" max="2" width="43.28515625" style="160" customWidth="1"/>
    <col min="3" max="3" width="9.140625" style="160"/>
    <col min="4" max="7" width="9.140625" style="160" hidden="1" customWidth="1"/>
    <col min="8" max="15" width="9.140625" style="160" customWidth="1"/>
    <col min="16" max="16" width="21.140625" style="160" bestFit="1" customWidth="1"/>
    <col min="17" max="17" width="1.7109375" style="160" customWidth="1"/>
    <col min="18" max="16384" width="9.140625" style="160"/>
  </cols>
  <sheetData>
    <row r="1" spans="2:17" ht="15.75" x14ac:dyDescent="0.25">
      <c r="B1" s="159"/>
      <c r="C1" s="159"/>
      <c r="D1" s="22"/>
      <c r="E1" s="22"/>
      <c r="F1" s="22"/>
      <c r="G1" s="22"/>
      <c r="H1" s="22"/>
      <c r="I1" s="22"/>
      <c r="J1" s="159"/>
      <c r="K1" s="159"/>
      <c r="L1" s="159"/>
      <c r="M1" s="159"/>
      <c r="N1" s="159"/>
      <c r="O1" s="159"/>
      <c r="P1" s="27" t="s">
        <v>88</v>
      </c>
      <c r="Q1" s="159"/>
    </row>
    <row r="2" spans="2:17" ht="15.75" x14ac:dyDescent="0.25">
      <c r="B2" s="43" t="s">
        <v>1</v>
      </c>
      <c r="C2" s="27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3" t="s">
        <v>222</v>
      </c>
      <c r="Q2" s="25"/>
    </row>
    <row r="3" spans="2:17" ht="15.75" x14ac:dyDescent="0.25">
      <c r="B3" s="45" t="s">
        <v>89</v>
      </c>
      <c r="C3" s="27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7"/>
      <c r="Q3" s="25"/>
    </row>
    <row r="4" spans="2:17" ht="15.75" x14ac:dyDescent="0.25">
      <c r="B4" s="45" t="s">
        <v>223</v>
      </c>
      <c r="C4" s="27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7"/>
      <c r="Q4" s="25"/>
    </row>
    <row r="5" spans="2:17" ht="15.75" x14ac:dyDescent="0.25">
      <c r="B5" s="28"/>
      <c r="C5" s="28"/>
      <c r="D5" s="28"/>
      <c r="E5" s="28"/>
      <c r="F5" s="28"/>
      <c r="G5" s="28"/>
      <c r="H5" s="28"/>
      <c r="I5" s="28"/>
      <c r="J5" s="25"/>
      <c r="K5" s="25"/>
      <c r="L5" s="25"/>
      <c r="M5" s="25"/>
      <c r="N5" s="25"/>
      <c r="O5" s="25"/>
      <c r="P5" s="27"/>
      <c r="Q5" s="25"/>
    </row>
    <row r="6" spans="2:17" ht="15.75" x14ac:dyDescent="0.25">
      <c r="B6" s="25" t="s">
        <v>90</v>
      </c>
      <c r="C6" s="27"/>
      <c r="D6" s="27"/>
      <c r="E6" s="27"/>
      <c r="F6" s="27"/>
      <c r="G6" s="27"/>
      <c r="H6" s="27"/>
      <c r="I6" s="27"/>
      <c r="J6" s="25"/>
      <c r="K6" s="25"/>
      <c r="L6" s="25"/>
      <c r="M6" s="25"/>
      <c r="N6" s="25"/>
      <c r="O6" s="25"/>
      <c r="P6" s="25"/>
      <c r="Q6" s="25"/>
    </row>
    <row r="7" spans="2:17" ht="16.5" thickBot="1" x14ac:dyDescent="0.3">
      <c r="B7" s="46"/>
      <c r="C7" s="46"/>
      <c r="D7" s="46"/>
      <c r="E7" s="46"/>
      <c r="F7" s="46"/>
      <c r="G7" s="46"/>
      <c r="H7" s="46"/>
      <c r="I7" s="46"/>
      <c r="J7" s="25"/>
      <c r="K7" s="25"/>
      <c r="L7" s="25"/>
      <c r="M7" s="25"/>
      <c r="N7" s="25"/>
      <c r="O7" s="25"/>
      <c r="P7" s="25"/>
      <c r="Q7" s="25"/>
    </row>
    <row r="8" spans="2:17" ht="16.5" thickBot="1" x14ac:dyDescent="0.3">
      <c r="B8" s="29" t="s">
        <v>91</v>
      </c>
      <c r="C8" s="29" t="s">
        <v>5</v>
      </c>
      <c r="D8" s="30"/>
      <c r="E8" s="30"/>
      <c r="F8" s="30"/>
      <c r="G8" s="30"/>
      <c r="H8" s="30">
        <v>43952</v>
      </c>
      <c r="I8" s="30">
        <v>43983</v>
      </c>
      <c r="J8" s="30">
        <v>44013</v>
      </c>
      <c r="K8" s="30">
        <v>44044</v>
      </c>
      <c r="L8" s="30">
        <v>44075</v>
      </c>
      <c r="M8" s="30">
        <v>44105</v>
      </c>
      <c r="N8" s="30">
        <v>44136</v>
      </c>
      <c r="O8" s="30">
        <v>44166</v>
      </c>
      <c r="P8" s="6" t="s">
        <v>151</v>
      </c>
      <c r="Q8" s="27"/>
    </row>
    <row r="9" spans="2:17" ht="16.5" thickBot="1" x14ac:dyDescent="0.3">
      <c r="B9" s="47" t="s">
        <v>45</v>
      </c>
      <c r="C9" s="48" t="s">
        <v>92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  <c r="P9" s="51"/>
      <c r="Q9" s="25"/>
    </row>
    <row r="10" spans="2:17" ht="15.75" hidden="1" outlineLevel="1" x14ac:dyDescent="0.25">
      <c r="B10" s="52" t="s">
        <v>46</v>
      </c>
      <c r="C10" s="53" t="s">
        <v>47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  <c r="P10" s="56"/>
      <c r="Q10" s="25"/>
    </row>
    <row r="11" spans="2:17" ht="15.75" hidden="1" outlineLevel="1" x14ac:dyDescent="0.25">
      <c r="B11" s="39" t="s">
        <v>61</v>
      </c>
      <c r="C11" s="57" t="s">
        <v>10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58"/>
      <c r="P11" s="35"/>
      <c r="Q11" s="59"/>
    </row>
    <row r="12" spans="2:17" ht="15.75" hidden="1" outlineLevel="1" x14ac:dyDescent="0.25">
      <c r="B12" s="34" t="s">
        <v>93</v>
      </c>
      <c r="C12" s="61" t="s">
        <v>10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62"/>
      <c r="P12" s="33"/>
      <c r="Q12" s="60"/>
    </row>
    <row r="13" spans="2:17" ht="15.75" hidden="1" outlineLevel="1" x14ac:dyDescent="0.25">
      <c r="B13" s="34" t="s">
        <v>66</v>
      </c>
      <c r="C13" s="61" t="s">
        <v>10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63"/>
      <c r="P13" s="61"/>
      <c r="Q13" s="25"/>
    </row>
    <row r="14" spans="2:17" ht="18" hidden="1" outlineLevel="1" x14ac:dyDescent="0.25">
      <c r="B14" s="39" t="s">
        <v>67</v>
      </c>
      <c r="C14" s="57" t="s">
        <v>68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  <c r="P14" s="53"/>
      <c r="Q14" s="60"/>
    </row>
    <row r="15" spans="2:17" ht="18" hidden="1" outlineLevel="1" x14ac:dyDescent="0.25">
      <c r="B15" s="64" t="s">
        <v>69</v>
      </c>
      <c r="C15" s="57" t="s">
        <v>68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6"/>
      <c r="P15" s="67"/>
      <c r="Q15" s="60"/>
    </row>
    <row r="16" spans="2:17" ht="15.75" hidden="1" outlineLevel="1" x14ac:dyDescent="0.25">
      <c r="B16" s="68" t="s">
        <v>78</v>
      </c>
      <c r="C16" s="69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1"/>
      <c r="P16" s="72"/>
      <c r="Q16" s="60"/>
    </row>
    <row r="17" spans="2:25" ht="16.5" hidden="1" outlineLevel="1" thickBot="1" x14ac:dyDescent="0.3">
      <c r="B17" s="73" t="s">
        <v>79</v>
      </c>
      <c r="C17" s="74" t="s">
        <v>32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6"/>
      <c r="P17" s="74"/>
      <c r="Q17" s="60"/>
    </row>
    <row r="18" spans="2:25" ht="15.75" collapsed="1" x14ac:dyDescent="0.25">
      <c r="B18" s="2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5"/>
      <c r="Q18" s="25"/>
    </row>
    <row r="19" spans="2:25" ht="15.75" x14ac:dyDescent="0.25">
      <c r="B19" s="25" t="s">
        <v>94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25" ht="16.5" thickBot="1" x14ac:dyDescent="0.3">
      <c r="B20" s="24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5"/>
      <c r="Q20" s="25"/>
    </row>
    <row r="21" spans="2:25" ht="16.5" thickBot="1" x14ac:dyDescent="0.3">
      <c r="B21" s="29" t="s">
        <v>91</v>
      </c>
      <c r="C21" s="29" t="s">
        <v>5</v>
      </c>
      <c r="D21" s="30"/>
      <c r="E21" s="30"/>
      <c r="F21" s="30"/>
      <c r="G21" s="30"/>
      <c r="H21" s="30">
        <v>43952</v>
      </c>
      <c r="I21" s="30">
        <v>43983</v>
      </c>
      <c r="J21" s="30">
        <v>44013</v>
      </c>
      <c r="K21" s="30">
        <v>44044</v>
      </c>
      <c r="L21" s="30">
        <v>44075</v>
      </c>
      <c r="M21" s="30">
        <v>44105</v>
      </c>
      <c r="N21" s="30">
        <v>44136</v>
      </c>
      <c r="O21" s="30">
        <v>44166</v>
      </c>
      <c r="P21" s="6" t="s">
        <v>150</v>
      </c>
      <c r="Q21" s="27"/>
    </row>
    <row r="22" spans="2:25" ht="15.75" x14ac:dyDescent="0.25">
      <c r="B22" s="78" t="s">
        <v>45</v>
      </c>
      <c r="C22" s="79" t="s">
        <v>92</v>
      </c>
      <c r="D22" s="204"/>
      <c r="E22" s="204"/>
      <c r="F22" s="204"/>
      <c r="G22" s="204"/>
      <c r="H22" s="204">
        <v>147.70000000000007</v>
      </c>
      <c r="I22" s="204">
        <v>115.00000000000003</v>
      </c>
      <c r="J22" s="204">
        <v>150.6</v>
      </c>
      <c r="K22" s="204">
        <v>150.4</v>
      </c>
      <c r="L22" s="204">
        <v>145.4</v>
      </c>
      <c r="M22" s="204">
        <v>150.6</v>
      </c>
      <c r="N22" s="204">
        <v>145.80000000000001</v>
      </c>
      <c r="O22" s="204">
        <v>150.69999999999999</v>
      </c>
      <c r="P22" s="216">
        <f>SUM(D22:O22)</f>
        <v>1156.2</v>
      </c>
      <c r="Q22" s="25"/>
    </row>
    <row r="23" spans="2:25" ht="15.75" x14ac:dyDescent="0.25">
      <c r="B23" s="52" t="s">
        <v>46</v>
      </c>
      <c r="C23" s="53" t="s">
        <v>47</v>
      </c>
      <c r="D23" s="205"/>
      <c r="E23" s="205"/>
      <c r="F23" s="205"/>
      <c r="G23" s="205"/>
      <c r="H23" s="205">
        <f>H22/(31)*1000</f>
        <v>4764.5161290322612</v>
      </c>
      <c r="I23" s="205">
        <f>I22/(30-3)*1000</f>
        <v>4259.25925925926</v>
      </c>
      <c r="J23" s="205">
        <f t="shared" ref="J23:K23" si="0">J22/31*1000</f>
        <v>4858.0645161290313</v>
      </c>
      <c r="K23" s="205">
        <f t="shared" si="0"/>
        <v>4851.6129032258068</v>
      </c>
      <c r="L23" s="205">
        <f>L22/30*1000</f>
        <v>4846.666666666667</v>
      </c>
      <c r="M23" s="205">
        <f>M22/(31)*1000</f>
        <v>4858.0645161290313</v>
      </c>
      <c r="N23" s="205">
        <f>N22/30*1000</f>
        <v>4860</v>
      </c>
      <c r="O23" s="205">
        <f>O22/31*1000</f>
        <v>4861.2903225806449</v>
      </c>
      <c r="P23" s="206">
        <f>P22/(275-3)*1000</f>
        <v>4250.7352941176468</v>
      </c>
      <c r="Q23" s="25"/>
    </row>
    <row r="24" spans="2:25" ht="20.25" customHeight="1" x14ac:dyDescent="0.25">
      <c r="B24" s="39" t="s">
        <v>162</v>
      </c>
      <c r="C24" s="57" t="s">
        <v>10</v>
      </c>
      <c r="D24" s="211"/>
      <c r="E24" s="222"/>
      <c r="F24" s="222"/>
      <c r="G24" s="222"/>
      <c r="H24" s="222">
        <v>389</v>
      </c>
      <c r="I24" s="222">
        <v>404</v>
      </c>
      <c r="J24" s="208">
        <v>389</v>
      </c>
      <c r="K24" s="208">
        <v>390</v>
      </c>
      <c r="L24" s="208">
        <v>389</v>
      </c>
      <c r="M24" s="208">
        <v>389</v>
      </c>
      <c r="N24" s="208">
        <v>389</v>
      </c>
      <c r="O24" s="212">
        <v>389</v>
      </c>
      <c r="P24" s="9">
        <f>ROUND((D22*D24+E22*E24+F22*F24+G22*G24+H22*H24+I22*I24+J22*J24+K22*K24+L22*L24+M22*M24+N22*N24+O22*O24)/P22,1)</f>
        <v>390.6</v>
      </c>
      <c r="Q24" s="25"/>
      <c r="T24" s="254"/>
      <c r="U24" s="254"/>
    </row>
    <row r="25" spans="2:25" ht="31.5" x14ac:dyDescent="0.25">
      <c r="B25" s="36" t="s">
        <v>95</v>
      </c>
      <c r="C25" s="35" t="s">
        <v>10</v>
      </c>
      <c r="D25" s="209"/>
      <c r="E25" s="7"/>
      <c r="F25" s="7"/>
      <c r="G25" s="7"/>
      <c r="H25" s="7"/>
      <c r="I25" s="7"/>
      <c r="J25" s="205"/>
      <c r="K25" s="7"/>
      <c r="L25" s="7"/>
      <c r="M25" s="7"/>
      <c r="N25" s="7"/>
      <c r="O25" s="213"/>
      <c r="P25" s="8">
        <f>ROUND((D22*D25+E22*E25+F22*F25+G22*G25+H22*H25+I22*I25+J22*J25+K22*K25+L22*L25+M22*M25+N22*N25+O22*O25)/P22,1)</f>
        <v>0</v>
      </c>
      <c r="Q25" s="60"/>
      <c r="Y25" s="160" t="s">
        <v>97</v>
      </c>
    </row>
    <row r="26" spans="2:25" ht="15.75" x14ac:dyDescent="0.25">
      <c r="B26" s="34" t="s">
        <v>143</v>
      </c>
      <c r="C26" s="61" t="s">
        <v>10</v>
      </c>
      <c r="D26" s="209"/>
      <c r="E26" s="7"/>
      <c r="F26" s="7"/>
      <c r="G26" s="7"/>
      <c r="H26" s="7">
        <f t="shared" ref="H26:O26" si="1">ROUND((H24-H25)*5.2/(100-5.2),0)</f>
        <v>21</v>
      </c>
      <c r="I26" s="7">
        <f t="shared" si="1"/>
        <v>22</v>
      </c>
      <c r="J26" s="205">
        <f t="shared" si="1"/>
        <v>21</v>
      </c>
      <c r="K26" s="7">
        <f t="shared" si="1"/>
        <v>21</v>
      </c>
      <c r="L26" s="7">
        <f t="shared" si="1"/>
        <v>21</v>
      </c>
      <c r="M26" s="7">
        <f t="shared" si="1"/>
        <v>21</v>
      </c>
      <c r="N26" s="7">
        <f t="shared" si="1"/>
        <v>21</v>
      </c>
      <c r="O26" s="213">
        <f t="shared" si="1"/>
        <v>21</v>
      </c>
      <c r="P26" s="8">
        <f>ROUND((D22*D26+E22*E26+F22*F26+G22*G26+H22*H26+I22*I26+J22*J26+K22*K26+L22*L26+M22*M26+N22*N26+O22*O26)/P22,1)</f>
        <v>21.1</v>
      </c>
      <c r="Q26" s="25"/>
    </row>
    <row r="27" spans="2:25" ht="20.25" customHeight="1" x14ac:dyDescent="0.25">
      <c r="B27" s="39" t="s">
        <v>144</v>
      </c>
      <c r="C27" s="57" t="s">
        <v>10</v>
      </c>
      <c r="D27" s="211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12"/>
      <c r="P27" s="9">
        <f>ROUND((D22*D27+E22*E27+F22*F27+G22*G27+H22*H27+I22*I27+J22*J27+K22*K27+L22*L27+M22*M27+N22*N27+O22*O27)/P22,0)</f>
        <v>0</v>
      </c>
      <c r="Q27" s="25"/>
    </row>
    <row r="28" spans="2:25" ht="20.25" customHeight="1" x14ac:dyDescent="0.25">
      <c r="B28" s="39" t="s">
        <v>145</v>
      </c>
      <c r="C28" s="57" t="s">
        <v>68</v>
      </c>
      <c r="D28" s="223"/>
      <c r="E28" s="224"/>
      <c r="F28" s="224"/>
      <c r="G28" s="224"/>
      <c r="H28" s="224">
        <v>103</v>
      </c>
      <c r="I28" s="224">
        <v>100</v>
      </c>
      <c r="J28" s="224">
        <v>103</v>
      </c>
      <c r="K28" s="224">
        <v>103</v>
      </c>
      <c r="L28" s="224">
        <v>103</v>
      </c>
      <c r="M28" s="224">
        <v>103</v>
      </c>
      <c r="N28" s="224">
        <v>103</v>
      </c>
      <c r="O28" s="226">
        <v>103</v>
      </c>
      <c r="P28" s="9">
        <f>ROUND((D22*D28+E22*E28+F22*F28+G22*G28+H22*H28+I22*I28+J22*J28+K22*K28+L22*L28+M22*M28+N22*N28+O22*O28)/P22,1)</f>
        <v>102.7</v>
      </c>
      <c r="Q28" s="60"/>
    </row>
    <row r="29" spans="2:25" ht="20.25" customHeight="1" x14ac:dyDescent="0.25">
      <c r="B29" s="64" t="s">
        <v>146</v>
      </c>
      <c r="C29" s="57" t="s">
        <v>68</v>
      </c>
      <c r="D29" s="223"/>
      <c r="E29" s="224"/>
      <c r="F29" s="224"/>
      <c r="G29" s="224"/>
      <c r="H29" s="224">
        <v>108</v>
      </c>
      <c r="I29" s="224">
        <v>110</v>
      </c>
      <c r="J29" s="225">
        <v>108</v>
      </c>
      <c r="K29" s="225">
        <v>108</v>
      </c>
      <c r="L29" s="225">
        <v>108</v>
      </c>
      <c r="M29" s="225">
        <v>108</v>
      </c>
      <c r="N29" s="225">
        <v>108</v>
      </c>
      <c r="O29" s="226">
        <v>108</v>
      </c>
      <c r="P29" s="196">
        <f>ROUND((D22*D29+E22*E29+F22*F29+G22*G29+H22*H29+I22*I29+J22*J29+K22*K29+L22*L29+M22*M29+N22*N29+O22*O29)/P22,1)</f>
        <v>108.2</v>
      </c>
      <c r="Q29" s="60"/>
    </row>
    <row r="30" spans="2:25" ht="15.75" x14ac:dyDescent="0.25">
      <c r="B30" s="68" t="s">
        <v>78</v>
      </c>
      <c r="C30" s="69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120"/>
      <c r="Q30" s="60"/>
    </row>
    <row r="31" spans="2:25" ht="16.5" thickBot="1" x14ac:dyDescent="0.3">
      <c r="B31" s="73" t="s">
        <v>79</v>
      </c>
      <c r="C31" s="74" t="s">
        <v>32</v>
      </c>
      <c r="D31" s="117"/>
      <c r="E31" s="117"/>
      <c r="F31" s="117"/>
      <c r="G31" s="117"/>
      <c r="H31" s="117">
        <v>59.26</v>
      </c>
      <c r="I31" s="117">
        <v>59.02</v>
      </c>
      <c r="J31" s="117">
        <v>60.02</v>
      </c>
      <c r="K31" s="117">
        <v>59.97</v>
      </c>
      <c r="L31" s="117">
        <v>60.05</v>
      </c>
      <c r="M31" s="117">
        <v>60</v>
      </c>
      <c r="N31" s="117">
        <v>59.96</v>
      </c>
      <c r="O31" s="117">
        <v>60.36</v>
      </c>
      <c r="P31" s="118">
        <f>ROUND((D22*D31+E22*E31+F22*F31+G22*G31+H22*H31+I22*I31+J22*J31+K22*K31+L22*L31+M22*M31+N22*N31+O22*O31)/P22,2)</f>
        <v>59.85</v>
      </c>
      <c r="Q31" s="60"/>
    </row>
    <row r="32" spans="2:25" ht="15.75" x14ac:dyDescent="0.25">
      <c r="B32" s="26"/>
      <c r="C32" s="23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5"/>
    </row>
    <row r="33" spans="2:20" ht="15.75" x14ac:dyDescent="0.25">
      <c r="B33" s="25" t="s">
        <v>96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2:20" ht="16.5" thickBot="1" x14ac:dyDescent="0.3">
      <c r="B34" s="46"/>
      <c r="C34" s="46"/>
      <c r="D34" s="46"/>
      <c r="E34" s="46"/>
      <c r="F34" s="46"/>
      <c r="G34" s="46"/>
      <c r="H34" s="46"/>
      <c r="I34" s="4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2:20" ht="16.5" thickBot="1" x14ac:dyDescent="0.3">
      <c r="B35" s="29" t="s">
        <v>91</v>
      </c>
      <c r="C35" s="29" t="s">
        <v>5</v>
      </c>
      <c r="D35" s="30"/>
      <c r="E35" s="30"/>
      <c r="F35" s="30"/>
      <c r="G35" s="30"/>
      <c r="H35" s="30">
        <v>43952</v>
      </c>
      <c r="I35" s="30">
        <v>43983</v>
      </c>
      <c r="J35" s="30">
        <v>44013</v>
      </c>
      <c r="K35" s="30">
        <v>44044</v>
      </c>
      <c r="L35" s="30">
        <v>44075</v>
      </c>
      <c r="M35" s="30">
        <v>44105</v>
      </c>
      <c r="N35" s="30">
        <v>44136</v>
      </c>
      <c r="O35" s="30">
        <v>44166</v>
      </c>
      <c r="P35" s="6" t="s">
        <v>150</v>
      </c>
      <c r="Q35" s="27"/>
      <c r="R35" s="27"/>
      <c r="S35" s="27"/>
      <c r="T35" s="27"/>
    </row>
    <row r="36" spans="2:20" ht="15.75" x14ac:dyDescent="0.25">
      <c r="B36" s="81" t="s">
        <v>45</v>
      </c>
      <c r="C36" s="82" t="s">
        <v>92</v>
      </c>
      <c r="D36" s="210"/>
      <c r="E36" s="210"/>
      <c r="F36" s="210"/>
      <c r="G36" s="210"/>
      <c r="H36" s="210">
        <v>174.90000000000003</v>
      </c>
      <c r="I36" s="210">
        <v>168.4</v>
      </c>
      <c r="J36" s="210">
        <v>0.4</v>
      </c>
      <c r="K36" s="210"/>
      <c r="L36" s="210"/>
      <c r="M36" s="210"/>
      <c r="N36" s="210">
        <v>18.100000000000001</v>
      </c>
      <c r="O36" s="210">
        <v>171.3000000000001</v>
      </c>
      <c r="P36" s="216">
        <f>SUM(D36:O36)</f>
        <v>533.10000000000014</v>
      </c>
      <c r="Q36" s="25"/>
      <c r="R36" s="25"/>
      <c r="S36" s="25"/>
      <c r="T36" s="25"/>
    </row>
    <row r="37" spans="2:20" ht="15.75" x14ac:dyDescent="0.25">
      <c r="B37" s="83" t="s">
        <v>46</v>
      </c>
      <c r="C37" s="61" t="s">
        <v>47</v>
      </c>
      <c r="D37" s="205"/>
      <c r="E37" s="205"/>
      <c r="F37" s="205"/>
      <c r="G37" s="205"/>
      <c r="H37" s="205">
        <f>H36/31*1000</f>
        <v>5641.9354838709696</v>
      </c>
      <c r="I37" s="205">
        <f>I36/(30)*1000</f>
        <v>5613.333333333333</v>
      </c>
      <c r="J37" s="205">
        <f>J36/(31-30)*1000</f>
        <v>400</v>
      </c>
      <c r="K37" s="205"/>
      <c r="L37" s="205"/>
      <c r="M37" s="205"/>
      <c r="N37" s="205">
        <f>N36/(30)*1000</f>
        <v>603.33333333333337</v>
      </c>
      <c r="O37" s="205">
        <f>O36/31*1000</f>
        <v>5525.8064516129061</v>
      </c>
      <c r="P37" s="206">
        <f>P36/(275-92-26-23)*1000</f>
        <v>3978.3582089552247</v>
      </c>
      <c r="Q37" s="25"/>
      <c r="R37" s="25"/>
      <c r="S37" s="25"/>
      <c r="T37" s="25"/>
    </row>
    <row r="38" spans="2:20" ht="22.5" customHeight="1" x14ac:dyDescent="0.25">
      <c r="B38" s="39" t="s">
        <v>162</v>
      </c>
      <c r="C38" s="57" t="s">
        <v>10</v>
      </c>
      <c r="D38" s="222"/>
      <c r="E38" s="222"/>
      <c r="F38" s="222"/>
      <c r="G38" s="222"/>
      <c r="H38" s="222">
        <v>318</v>
      </c>
      <c r="I38" s="222">
        <v>318</v>
      </c>
      <c r="J38" s="222">
        <v>392</v>
      </c>
      <c r="K38" s="222"/>
      <c r="L38" s="222"/>
      <c r="M38" s="222"/>
      <c r="N38" s="222">
        <v>545</v>
      </c>
      <c r="O38" s="222">
        <v>381</v>
      </c>
      <c r="P38" s="9">
        <f>ROUND((D36*D38+E36*E38+F36*F38+G36*G38+H36*H38+I36*I38+J36*J38+K36*K38+L36*L38+M36*M38+N36*N38+O36*O38)/P36,1)</f>
        <v>346</v>
      </c>
      <c r="Q38" s="60"/>
      <c r="R38" s="59"/>
      <c r="S38" s="59"/>
      <c r="T38" s="60"/>
    </row>
    <row r="39" spans="2:20" ht="15.75" x14ac:dyDescent="0.25">
      <c r="B39" s="36" t="s">
        <v>62</v>
      </c>
      <c r="C39" s="61" t="s">
        <v>10</v>
      </c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8">
        <f>ROUND((D36*D39+E36*E39+F36*F39+G36*G39+H36*H39+I36*I39+J36*J39+K36*K39+L36*L39+M36*M39+N36*N39+O36*O39)/P36,1)</f>
        <v>0</v>
      </c>
      <c r="Q39" s="60"/>
      <c r="R39" s="60"/>
      <c r="S39" s="60"/>
      <c r="T39" s="60"/>
    </row>
    <row r="40" spans="2:20" ht="15.75" x14ac:dyDescent="0.25">
      <c r="B40" s="36" t="s">
        <v>158</v>
      </c>
      <c r="C40" s="61" t="s">
        <v>10</v>
      </c>
      <c r="D40" s="205"/>
      <c r="E40" s="205"/>
      <c r="F40" s="205"/>
      <c r="G40" s="205"/>
      <c r="H40" s="205">
        <v>25</v>
      </c>
      <c r="I40" s="205">
        <v>27</v>
      </c>
      <c r="J40" s="205">
        <v>27</v>
      </c>
      <c r="K40" s="205"/>
      <c r="L40" s="205"/>
      <c r="M40" s="205"/>
      <c r="N40" s="205">
        <v>25</v>
      </c>
      <c r="O40" s="205">
        <v>25</v>
      </c>
      <c r="P40" s="8">
        <f>ROUND(SUMPRODUCT(D36:O36,D40:O40)/P36,1)</f>
        <v>25.6</v>
      </c>
      <c r="Q40" s="60"/>
      <c r="R40" s="60"/>
      <c r="S40" s="60"/>
      <c r="T40" s="60"/>
    </row>
    <row r="41" spans="2:20" ht="15.75" x14ac:dyDescent="0.25">
      <c r="B41" s="36" t="s">
        <v>159</v>
      </c>
      <c r="C41" s="61" t="s">
        <v>10</v>
      </c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8">
        <f>ROUND(SUMPRODUCT(D37:O37,D41:O41)/P37,1)</f>
        <v>0</v>
      </c>
      <c r="Q41" s="60"/>
      <c r="R41" s="60"/>
      <c r="S41" s="60"/>
      <c r="T41" s="60"/>
    </row>
    <row r="42" spans="2:20" ht="31.5" x14ac:dyDescent="0.25">
      <c r="B42" s="36" t="s">
        <v>106</v>
      </c>
      <c r="C42" s="61" t="s">
        <v>10</v>
      </c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8">
        <f>ROUND(SUMPRODUCT(D36:O36,D42:O42)/P36,1)</f>
        <v>0</v>
      </c>
      <c r="Q42" s="60"/>
      <c r="R42" s="60"/>
      <c r="S42" s="60"/>
      <c r="T42" s="60"/>
    </row>
    <row r="43" spans="2:20" ht="15.75" x14ac:dyDescent="0.25">
      <c r="B43" s="36" t="s">
        <v>65</v>
      </c>
      <c r="C43" s="61" t="s">
        <v>10</v>
      </c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8">
        <f>ROUND(SUMPRODUCT(D36:O36,D43:O43)/P36,1)</f>
        <v>0</v>
      </c>
      <c r="Q43" s="60"/>
      <c r="R43" s="60"/>
      <c r="S43" s="60"/>
      <c r="T43" s="60"/>
    </row>
    <row r="44" spans="2:20" ht="15.75" x14ac:dyDescent="0.25">
      <c r="B44" s="34" t="s">
        <v>66</v>
      </c>
      <c r="C44" s="61" t="s">
        <v>10</v>
      </c>
      <c r="D44" s="205"/>
      <c r="E44" s="205"/>
      <c r="F44" s="205"/>
      <c r="G44" s="205"/>
      <c r="H44" s="205">
        <f t="shared" ref="H44:O44" si="2">ROUND((H38-H39-H40-H41-H42-H43)*5.5/(100-5.5),0)</f>
        <v>17</v>
      </c>
      <c r="I44" s="205">
        <f t="shared" si="2"/>
        <v>17</v>
      </c>
      <c r="J44" s="205">
        <f t="shared" ref="J44" si="3">ROUND((J38-J39-J40-J41-J42-J43)*5.5/(100-5.5),0)</f>
        <v>21</v>
      </c>
      <c r="K44" s="205"/>
      <c r="L44" s="205"/>
      <c r="M44" s="205"/>
      <c r="N44" s="205">
        <f t="shared" si="2"/>
        <v>30</v>
      </c>
      <c r="O44" s="205">
        <f t="shared" si="2"/>
        <v>21</v>
      </c>
      <c r="P44" s="8">
        <f>ROUND((D36*D44+E36*E44+F36*F44+G36*G44+H36*H44+I36*I44+J36*J44+K36*K44+L36*L44+M36*M44+N36*N44+O36*O44)/P36,1)</f>
        <v>18.7</v>
      </c>
      <c r="Q44" s="25"/>
      <c r="R44" s="25"/>
      <c r="S44" s="25"/>
      <c r="T44" s="25"/>
    </row>
    <row r="45" spans="2:20" ht="20.25" customHeight="1" x14ac:dyDescent="0.25">
      <c r="B45" s="39" t="s">
        <v>144</v>
      </c>
      <c r="C45" s="57" t="s">
        <v>10</v>
      </c>
      <c r="D45" s="211"/>
      <c r="E45" s="208"/>
      <c r="F45" s="208"/>
      <c r="G45" s="208"/>
      <c r="H45" s="208">
        <v>130</v>
      </c>
      <c r="I45" s="208">
        <v>130</v>
      </c>
      <c r="J45" s="208">
        <v>53</v>
      </c>
      <c r="K45" s="208"/>
      <c r="L45" s="208"/>
      <c r="M45" s="208"/>
      <c r="N45" s="208">
        <v>7.0630300726520545E-2</v>
      </c>
      <c r="O45" s="208">
        <v>120</v>
      </c>
      <c r="P45" s="9">
        <f>ROUND((D36*D45+E36*E45+F36*F45+G36*G45+H36*H45+I36*I45+J36*J45+K36*K45+L36*L45+M36*M45+N36*N45+O36*O45)/P36,1)</f>
        <v>122.3</v>
      </c>
      <c r="Q45" s="25"/>
      <c r="R45" s="25"/>
      <c r="S45" s="25"/>
      <c r="T45" s="25"/>
    </row>
    <row r="46" spans="2:20" ht="20.25" customHeight="1" x14ac:dyDescent="0.25">
      <c r="B46" s="39" t="s">
        <v>145</v>
      </c>
      <c r="C46" s="57" t="s">
        <v>68</v>
      </c>
      <c r="D46" s="211"/>
      <c r="E46" s="208"/>
      <c r="F46" s="208"/>
      <c r="G46" s="208"/>
      <c r="H46" s="208">
        <v>62</v>
      </c>
      <c r="I46" s="208">
        <v>62</v>
      </c>
      <c r="J46" s="208">
        <v>77</v>
      </c>
      <c r="K46" s="225"/>
      <c r="L46" s="225"/>
      <c r="M46" s="225"/>
      <c r="N46" s="225">
        <v>50</v>
      </c>
      <c r="O46" s="225">
        <v>62</v>
      </c>
      <c r="P46" s="9">
        <f>ROUND((D36*D46+E36*E46+F36*F46+G36*G46+H36*H46+I36*I46+J36*J46+K36*K46+L36*L46+M36*M46+N36*N46+O36*O46)/P36,1)</f>
        <v>61.6</v>
      </c>
      <c r="Q46" s="60"/>
      <c r="R46" s="60"/>
      <c r="S46" s="60"/>
      <c r="T46" s="60" t="s">
        <v>97</v>
      </c>
    </row>
    <row r="47" spans="2:20" ht="20.25" customHeight="1" x14ac:dyDescent="0.25">
      <c r="B47" s="64" t="s">
        <v>146</v>
      </c>
      <c r="C47" s="57" t="s">
        <v>68</v>
      </c>
      <c r="D47" s="211"/>
      <c r="E47" s="222"/>
      <c r="F47" s="222"/>
      <c r="G47" s="222"/>
      <c r="H47" s="222">
        <v>110</v>
      </c>
      <c r="I47" s="222">
        <v>110</v>
      </c>
      <c r="J47" s="222">
        <v>110</v>
      </c>
      <c r="K47" s="224"/>
      <c r="L47" s="224"/>
      <c r="M47" s="224"/>
      <c r="N47" s="224">
        <v>58</v>
      </c>
      <c r="O47" s="224">
        <v>110</v>
      </c>
      <c r="P47" s="9">
        <f>ROUND((D36*D47+E36*E47+F36*F47+G36*G47+H36*H47+I36*I47+J36*J47+K36*K47+L36*L47+M36*M47+N36*N47+O36*O47)/P36,1)</f>
        <v>108.2</v>
      </c>
      <c r="Q47" s="60"/>
      <c r="R47" s="60"/>
      <c r="S47" s="60"/>
      <c r="T47" s="60"/>
    </row>
    <row r="48" spans="2:20" ht="15.75" x14ac:dyDescent="0.25">
      <c r="B48" s="68" t="s">
        <v>78</v>
      </c>
      <c r="C48" s="6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120"/>
      <c r="Q48" s="60"/>
      <c r="R48" s="60"/>
      <c r="S48" s="60"/>
      <c r="T48" s="60"/>
    </row>
    <row r="49" spans="1:25" ht="16.5" thickBot="1" x14ac:dyDescent="0.3">
      <c r="B49" s="73" t="s">
        <v>79</v>
      </c>
      <c r="C49" s="74" t="s">
        <v>32</v>
      </c>
      <c r="D49" s="119"/>
      <c r="E49" s="119"/>
      <c r="F49" s="119"/>
      <c r="G49" s="119"/>
      <c r="H49" s="119">
        <v>57.99</v>
      </c>
      <c r="I49" s="119">
        <v>58.43</v>
      </c>
      <c r="J49" s="119">
        <v>58.43</v>
      </c>
      <c r="K49" s="119"/>
      <c r="L49" s="119"/>
      <c r="M49" s="119"/>
      <c r="N49" s="119">
        <v>59.29</v>
      </c>
      <c r="O49" s="119">
        <v>59.42</v>
      </c>
      <c r="P49" s="118">
        <f>ROUND((D36*D49+E36*E49+F36*F49+G36*G49+H36*H49+I36*I49+J36*J49+K36*K49+L36*L49+M36*M49+N36*N49+O36*O49)/P36,2)</f>
        <v>58.63</v>
      </c>
      <c r="Q49" s="60"/>
      <c r="R49" s="60"/>
      <c r="S49" s="60"/>
      <c r="T49" s="60"/>
    </row>
    <row r="50" spans="1:25" ht="15.75" x14ac:dyDescent="0.25">
      <c r="A50" s="25"/>
      <c r="B50" s="25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60"/>
      <c r="R50" s="60"/>
    </row>
    <row r="51" spans="1:25" ht="15.75" x14ac:dyDescent="0.25">
      <c r="A51" s="25"/>
      <c r="B51" s="25" t="s">
        <v>98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25" ht="16.5" thickBot="1" x14ac:dyDescent="0.3">
      <c r="A52" s="25"/>
      <c r="B52" s="46"/>
      <c r="C52" s="46"/>
      <c r="D52" s="46"/>
      <c r="E52" s="46"/>
      <c r="F52" s="46"/>
      <c r="G52" s="46"/>
      <c r="H52" s="46"/>
      <c r="I52" s="46"/>
      <c r="J52" s="25"/>
      <c r="K52" s="25"/>
      <c r="L52" s="25"/>
      <c r="M52" s="25"/>
      <c r="N52" s="25"/>
      <c r="O52" s="25"/>
      <c r="P52" s="25"/>
      <c r="Q52" s="25"/>
      <c r="R52" s="25"/>
    </row>
    <row r="53" spans="1:25" ht="16.5" thickBot="1" x14ac:dyDescent="0.3">
      <c r="A53" s="27"/>
      <c r="B53" s="29" t="s">
        <v>91</v>
      </c>
      <c r="C53" s="29" t="s">
        <v>5</v>
      </c>
      <c r="D53" s="30"/>
      <c r="E53" s="30"/>
      <c r="F53" s="30"/>
      <c r="G53" s="30"/>
      <c r="H53" s="30">
        <v>43952</v>
      </c>
      <c r="I53" s="30">
        <v>43983</v>
      </c>
      <c r="J53" s="30">
        <v>44013</v>
      </c>
      <c r="K53" s="30">
        <v>44044</v>
      </c>
      <c r="L53" s="30">
        <v>44075</v>
      </c>
      <c r="M53" s="30">
        <v>44105</v>
      </c>
      <c r="N53" s="30">
        <v>44136</v>
      </c>
      <c r="O53" s="30">
        <v>44166</v>
      </c>
      <c r="P53" s="6" t="s">
        <v>150</v>
      </c>
      <c r="Q53" s="27"/>
      <c r="R53" s="27"/>
      <c r="Y53" s="160" t="s">
        <v>97</v>
      </c>
    </row>
    <row r="54" spans="1:25" ht="15.75" x14ac:dyDescent="0.25">
      <c r="A54" s="25"/>
      <c r="B54" s="81" t="s">
        <v>45</v>
      </c>
      <c r="C54" s="82" t="s">
        <v>92</v>
      </c>
      <c r="D54" s="204"/>
      <c r="E54" s="204"/>
      <c r="F54" s="204"/>
      <c r="G54" s="204"/>
      <c r="H54" s="204">
        <v>238.60000000000011</v>
      </c>
      <c r="I54" s="204">
        <v>230.70000000000013</v>
      </c>
      <c r="J54" s="204">
        <v>241.4</v>
      </c>
      <c r="K54" s="204">
        <v>241.4</v>
      </c>
      <c r="L54" s="204">
        <v>232.4</v>
      </c>
      <c r="M54" s="204">
        <v>240.2</v>
      </c>
      <c r="N54" s="204">
        <v>232.4</v>
      </c>
      <c r="O54" s="204">
        <v>47.599999999999994</v>
      </c>
      <c r="P54" s="216">
        <f>SUM(D54:O54)</f>
        <v>1704.7000000000003</v>
      </c>
      <c r="Q54" s="25"/>
      <c r="R54" s="25"/>
    </row>
    <row r="55" spans="1:25" ht="15.75" x14ac:dyDescent="0.25">
      <c r="A55" s="25"/>
      <c r="B55" s="83" t="s">
        <v>46</v>
      </c>
      <c r="C55" s="61" t="s">
        <v>47</v>
      </c>
      <c r="D55" s="205"/>
      <c r="E55" s="205"/>
      <c r="F55" s="205"/>
      <c r="G55" s="205"/>
      <c r="H55" s="205">
        <f>H54/31*1000</f>
        <v>7696.77419354839</v>
      </c>
      <c r="I55" s="205">
        <f>I54/30*1000</f>
        <v>7690.0000000000036</v>
      </c>
      <c r="J55" s="205">
        <f t="shared" ref="J55" si="4">J54/31*1000</f>
        <v>7787.0967741935483</v>
      </c>
      <c r="K55" s="205">
        <f t="shared" ref="K55" si="5">K54/31*1000</f>
        <v>7787.0967741935483</v>
      </c>
      <c r="L55" s="205">
        <f>L54/30*1000</f>
        <v>7746.666666666667</v>
      </c>
      <c r="M55" s="205">
        <f>M54/31*1000</f>
        <v>7748.3870967741932</v>
      </c>
      <c r="N55" s="205">
        <f>N54/(30)*1000</f>
        <v>7746.666666666667</v>
      </c>
      <c r="O55" s="205">
        <f>O54/(31-22)*1000</f>
        <v>5288.8888888888878</v>
      </c>
      <c r="P55" s="206">
        <f>P54/(275-20)*1000</f>
        <v>6685.098039215688</v>
      </c>
      <c r="Q55" s="25"/>
      <c r="R55" s="25"/>
    </row>
    <row r="56" spans="1:25" ht="19.5" customHeight="1" x14ac:dyDescent="0.25">
      <c r="A56" s="60"/>
      <c r="B56" s="39" t="s">
        <v>162</v>
      </c>
      <c r="C56" s="57" t="s">
        <v>10</v>
      </c>
      <c r="D56" s="211"/>
      <c r="E56" s="222"/>
      <c r="F56" s="222"/>
      <c r="G56" s="222"/>
      <c r="H56" s="222">
        <v>310</v>
      </c>
      <c r="I56" s="222">
        <v>309</v>
      </c>
      <c r="J56" s="222">
        <v>305</v>
      </c>
      <c r="K56" s="222">
        <v>305</v>
      </c>
      <c r="L56" s="222">
        <v>305</v>
      </c>
      <c r="M56" s="222">
        <v>304</v>
      </c>
      <c r="N56" s="222">
        <v>305</v>
      </c>
      <c r="O56" s="227">
        <v>336</v>
      </c>
      <c r="P56" s="9">
        <f>ROUND((D54*D56+E54*E56+F54*F56+G54*G56+H54*H56+I54*I56+J54*J56+K54*K56+L54*L56+M54*M56+N54*N56+O54*O56)/P54,1)</f>
        <v>307</v>
      </c>
      <c r="Q56" s="60"/>
      <c r="R56" s="60" t="s">
        <v>97</v>
      </c>
    </row>
    <row r="57" spans="1:25" ht="15.75" x14ac:dyDescent="0.25">
      <c r="A57" s="60"/>
      <c r="B57" s="36" t="s">
        <v>62</v>
      </c>
      <c r="C57" s="61" t="s">
        <v>10</v>
      </c>
      <c r="D57" s="209"/>
      <c r="E57" s="205"/>
      <c r="F57" s="205"/>
      <c r="G57" s="205"/>
      <c r="H57" s="205">
        <v>12.545086518491651</v>
      </c>
      <c r="I57" s="205">
        <v>0</v>
      </c>
      <c r="J57" s="205">
        <v>-7.3585618864964808E-15</v>
      </c>
      <c r="K57" s="205">
        <v>0</v>
      </c>
      <c r="L57" s="205">
        <v>7.7333776203754882E-15</v>
      </c>
      <c r="M57" s="205">
        <v>1.52940053522276</v>
      </c>
      <c r="N57" s="205">
        <v>7.6501155874257139E-15</v>
      </c>
      <c r="O57" s="214">
        <v>7.4969916806058663</v>
      </c>
      <c r="P57" s="8">
        <f>ROUND((D54*D57+E54*E57+F54*F57+G54*G57+H54*H57+I54*I57+J54*J57+K54*K57+L54*L57+M54*M57+N54*N57+O54*O57)/P54,1)</f>
        <v>2.2000000000000002</v>
      </c>
      <c r="Q57" s="60"/>
      <c r="R57" s="60"/>
    </row>
    <row r="58" spans="1:25" ht="15.75" x14ac:dyDescent="0.25">
      <c r="A58" s="60"/>
      <c r="B58" s="36" t="s">
        <v>158</v>
      </c>
      <c r="C58" s="61" t="s">
        <v>10</v>
      </c>
      <c r="D58" s="209"/>
      <c r="E58" s="205"/>
      <c r="F58" s="205"/>
      <c r="G58" s="205"/>
      <c r="H58" s="205">
        <v>0</v>
      </c>
      <c r="I58" s="205">
        <v>16.004712939160235</v>
      </c>
      <c r="J58" s="205">
        <v>17.812758906379454</v>
      </c>
      <c r="K58" s="205">
        <v>17.812758906379454</v>
      </c>
      <c r="L58" s="205">
        <v>17.849368741837168</v>
      </c>
      <c r="M58" s="205">
        <v>17.901748542880934</v>
      </c>
      <c r="N58" s="205">
        <v>17.334194659776053</v>
      </c>
      <c r="O58" s="214">
        <v>7.8892589508742734</v>
      </c>
      <c r="P58" s="8">
        <f>ROUND(SUMPRODUCT(D54:O54,D58:O58)/P54,2)</f>
        <v>14.75</v>
      </c>
      <c r="Q58" s="60"/>
      <c r="R58" s="60"/>
    </row>
    <row r="59" spans="1:25" ht="15.75" x14ac:dyDescent="0.25">
      <c r="A59" s="60"/>
      <c r="B59" s="36" t="s">
        <v>159</v>
      </c>
      <c r="C59" s="61" t="s">
        <v>10</v>
      </c>
      <c r="D59" s="209"/>
      <c r="E59" s="205"/>
      <c r="F59" s="205"/>
      <c r="G59" s="205"/>
      <c r="H59" s="205">
        <v>12.311818943839063</v>
      </c>
      <c r="I59" s="205">
        <v>12.586118251928028</v>
      </c>
      <c r="J59" s="205">
        <v>12.169014084507047</v>
      </c>
      <c r="K59" s="205">
        <v>12.169014084507047</v>
      </c>
      <c r="L59" s="205">
        <v>12.78885502829778</v>
      </c>
      <c r="M59" s="205">
        <v>9.1723563696919257</v>
      </c>
      <c r="N59" s="205">
        <v>9.4883720930232602</v>
      </c>
      <c r="O59" s="214">
        <v>9.1723563696919257</v>
      </c>
      <c r="P59" s="8">
        <f>ROUND(SUMPRODUCT(D54:O54,D59:O59)/P54,2)</f>
        <v>11.46</v>
      </c>
      <c r="Q59" s="60"/>
      <c r="R59" s="60"/>
    </row>
    <row r="60" spans="1:25" ht="15.75" x14ac:dyDescent="0.25">
      <c r="A60" s="60"/>
      <c r="B60" s="36" t="s">
        <v>65</v>
      </c>
      <c r="C60" s="61" t="s">
        <v>10</v>
      </c>
      <c r="D60" s="209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4"/>
      <c r="P60" s="8">
        <f>ROUND(SUMPRODUCT(D54:O54,D60:O60)/P54,1)</f>
        <v>0</v>
      </c>
      <c r="Q60" s="60"/>
      <c r="R60" s="60"/>
    </row>
    <row r="61" spans="1:25" ht="15.75" x14ac:dyDescent="0.25">
      <c r="A61" s="25"/>
      <c r="B61" s="34" t="s">
        <v>66</v>
      </c>
      <c r="C61" s="61" t="s">
        <v>10</v>
      </c>
      <c r="D61" s="205"/>
      <c r="E61" s="205"/>
      <c r="F61" s="205"/>
      <c r="G61" s="205"/>
      <c r="H61" s="205">
        <f t="shared" ref="H61:O61" si="6">ROUND((H56-H57-H58-H59-H60)*12.3/(100-12.3),0)</f>
        <v>40</v>
      </c>
      <c r="I61" s="205">
        <f t="shared" si="6"/>
        <v>39</v>
      </c>
      <c r="J61" s="205">
        <f t="shared" si="6"/>
        <v>39</v>
      </c>
      <c r="K61" s="205">
        <f t="shared" si="6"/>
        <v>39</v>
      </c>
      <c r="L61" s="205">
        <f t="shared" si="6"/>
        <v>38</v>
      </c>
      <c r="M61" s="205">
        <f t="shared" si="6"/>
        <v>39</v>
      </c>
      <c r="N61" s="205">
        <f t="shared" si="6"/>
        <v>39</v>
      </c>
      <c r="O61" s="205">
        <f t="shared" si="6"/>
        <v>44</v>
      </c>
      <c r="P61" s="8">
        <f>ROUND((D54*D61+E54*E61+F54*F61+G54*G61+H54*H61+I54*I61+J54*J61+K54*K61+L54*L61+M54*M61+N54*N61+O54*O61)/P54,1)</f>
        <v>39.1</v>
      </c>
      <c r="Q61" s="25"/>
      <c r="R61" s="25"/>
    </row>
    <row r="62" spans="1:25" ht="20.25" customHeight="1" x14ac:dyDescent="0.25">
      <c r="A62" s="25"/>
      <c r="B62" s="39" t="s">
        <v>144</v>
      </c>
      <c r="C62" s="57" t="s">
        <v>10</v>
      </c>
      <c r="D62" s="218"/>
      <c r="E62" s="219"/>
      <c r="F62" s="219"/>
      <c r="G62" s="219"/>
      <c r="H62" s="219">
        <v>129</v>
      </c>
      <c r="I62" s="219">
        <v>129</v>
      </c>
      <c r="J62" s="219">
        <v>129</v>
      </c>
      <c r="K62" s="219">
        <v>129</v>
      </c>
      <c r="L62" s="219">
        <v>129</v>
      </c>
      <c r="M62" s="219">
        <v>129</v>
      </c>
      <c r="N62" s="219">
        <v>129</v>
      </c>
      <c r="O62" s="220">
        <v>107</v>
      </c>
      <c r="P62" s="9">
        <f>ROUND((D54*D62+E54*E62+F54*F62+G54*G62+H54*H62+I54*I62+J54*J62+K54*K62+L54*L62+M54*M62+N54*N62+O54*O62)/P54,1)</f>
        <v>128.4</v>
      </c>
      <c r="Q62" s="25"/>
      <c r="R62" s="25"/>
    </row>
    <row r="63" spans="1:25" ht="20.25" customHeight="1" x14ac:dyDescent="0.25">
      <c r="A63" s="85"/>
      <c r="B63" s="39" t="s">
        <v>145</v>
      </c>
      <c r="C63" s="57" t="s">
        <v>68</v>
      </c>
      <c r="D63" s="211"/>
      <c r="E63" s="208"/>
      <c r="F63" s="208"/>
      <c r="G63" s="208"/>
      <c r="H63" s="208">
        <v>66</v>
      </c>
      <c r="I63" s="208">
        <v>66</v>
      </c>
      <c r="J63" s="208">
        <v>66</v>
      </c>
      <c r="K63" s="208">
        <v>66</v>
      </c>
      <c r="L63" s="208">
        <v>66</v>
      </c>
      <c r="M63" s="208">
        <v>66</v>
      </c>
      <c r="N63" s="208">
        <v>66</v>
      </c>
      <c r="O63" s="212">
        <v>65</v>
      </c>
      <c r="P63" s="9">
        <f>ROUND((D54*D63+E54*E63+F54*F63+G54*G63+H54*H63+I54*I63+J54*J63+K54*K63+L54*L63+M54*M63+N54*N63+O54*O63)/P54,1)</f>
        <v>66</v>
      </c>
      <c r="Q63" s="85"/>
      <c r="R63" s="85"/>
    </row>
    <row r="64" spans="1:25" ht="20.25" customHeight="1" x14ac:dyDescent="0.25">
      <c r="A64" s="85"/>
      <c r="B64" s="64" t="s">
        <v>146</v>
      </c>
      <c r="C64" s="57" t="s">
        <v>68</v>
      </c>
      <c r="D64" s="211"/>
      <c r="E64" s="208"/>
      <c r="F64" s="208"/>
      <c r="G64" s="208"/>
      <c r="H64" s="208">
        <v>110</v>
      </c>
      <c r="I64" s="208">
        <v>110</v>
      </c>
      <c r="J64" s="208">
        <v>105</v>
      </c>
      <c r="K64" s="208">
        <v>105</v>
      </c>
      <c r="L64" s="208">
        <v>105</v>
      </c>
      <c r="M64" s="208">
        <v>105</v>
      </c>
      <c r="N64" s="208">
        <v>105</v>
      </c>
      <c r="O64" s="212">
        <v>101</v>
      </c>
      <c r="P64" s="9">
        <f>ROUND((D54*D64+E54*E64+F54*F64+G54*G64+H54*H64+I54*I64+J54*J64+K54*K64+L54*L64+M54*M64+N54*N64+O54*O64)/P54,1)</f>
        <v>106.3</v>
      </c>
      <c r="Q64" s="85"/>
      <c r="R64" s="85"/>
    </row>
    <row r="65" spans="1:18" ht="15.75" x14ac:dyDescent="0.25">
      <c r="A65" s="60"/>
      <c r="B65" s="68" t="s">
        <v>78</v>
      </c>
      <c r="C65" s="6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20"/>
      <c r="Q65" s="60"/>
      <c r="R65" s="60"/>
    </row>
    <row r="66" spans="1:18" ht="16.5" thickBot="1" x14ac:dyDescent="0.3">
      <c r="A66" s="60"/>
      <c r="B66" s="73" t="s">
        <v>79</v>
      </c>
      <c r="C66" s="74" t="s">
        <v>32</v>
      </c>
      <c r="D66" s="117"/>
      <c r="E66" s="117"/>
      <c r="F66" s="117"/>
      <c r="G66" s="117"/>
      <c r="H66" s="117">
        <v>57.63</v>
      </c>
      <c r="I66" s="117">
        <v>58.06</v>
      </c>
      <c r="J66" s="117">
        <v>59.1</v>
      </c>
      <c r="K66" s="117">
        <v>58.99</v>
      </c>
      <c r="L66" s="117">
        <v>59.08</v>
      </c>
      <c r="M66" s="117">
        <v>59.06</v>
      </c>
      <c r="N66" s="117">
        <v>59.28</v>
      </c>
      <c r="O66" s="117">
        <v>59.43</v>
      </c>
      <c r="P66" s="118">
        <f>ROUND((D54*D66+E54*E66+F54*F66+G54*G66+H54*H66+I54*I66+J54*J66+K54*K66+L54*L66+M54*M66+N54*N66+O54*O66)/P54,2)</f>
        <v>58.76</v>
      </c>
      <c r="Q66" s="60"/>
      <c r="R66" s="60"/>
    </row>
    <row r="67" spans="1:18" ht="17.25" x14ac:dyDescent="0.3">
      <c r="B67" s="88"/>
      <c r="C67" s="80" t="e">
        <v>#REF!</v>
      </c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1:18" ht="15.75" x14ac:dyDescent="0.25">
      <c r="B68" s="312" t="s">
        <v>161</v>
      </c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</row>
    <row r="69" spans="1:18" ht="15" customHeight="1" x14ac:dyDescent="0.25">
      <c r="B69" s="312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</row>
    <row r="70" spans="1:18" ht="15.75" x14ac:dyDescent="0.25">
      <c r="B70" s="43" t="s">
        <v>1</v>
      </c>
      <c r="C70" s="27"/>
      <c r="D70" s="27"/>
      <c r="E70" s="27"/>
      <c r="F70" s="27"/>
      <c r="G70" s="27"/>
      <c r="H70" s="27"/>
      <c r="I70" s="27"/>
      <c r="J70" s="25"/>
      <c r="K70" s="25"/>
      <c r="L70" s="25"/>
      <c r="M70" s="25"/>
      <c r="N70" s="25"/>
      <c r="O70" s="25"/>
      <c r="P70" s="27" t="s">
        <v>99</v>
      </c>
    </row>
    <row r="71" spans="1:18" ht="15.75" x14ac:dyDescent="0.25">
      <c r="B71" s="45" t="s">
        <v>100</v>
      </c>
      <c r="C71" s="27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3" t="s">
        <v>222</v>
      </c>
    </row>
    <row r="72" spans="1:18" ht="15.75" x14ac:dyDescent="0.25">
      <c r="B72" s="45" t="s">
        <v>224</v>
      </c>
      <c r="C72" s="27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7"/>
    </row>
    <row r="73" spans="1:18" ht="15.75" x14ac:dyDescent="0.25">
      <c r="B73" s="28"/>
      <c r="C73" s="28"/>
      <c r="D73" s="28"/>
      <c r="E73" s="28"/>
      <c r="F73" s="28"/>
      <c r="G73" s="28"/>
      <c r="H73" s="28"/>
      <c r="I73" s="28"/>
      <c r="J73" s="159"/>
      <c r="K73" s="159"/>
      <c r="L73" s="159"/>
      <c r="M73" s="159"/>
      <c r="N73" s="159"/>
      <c r="O73" s="159"/>
      <c r="P73" s="27"/>
    </row>
    <row r="74" spans="1:18" ht="15.75" x14ac:dyDescent="0.25"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27"/>
    </row>
    <row r="75" spans="1:18" ht="16.5" thickBot="1" x14ac:dyDescent="0.3">
      <c r="B75" s="25" t="s">
        <v>90</v>
      </c>
      <c r="C75" s="27"/>
      <c r="D75" s="27"/>
      <c r="E75" s="27"/>
      <c r="F75" s="27"/>
      <c r="G75" s="27"/>
      <c r="H75" s="27"/>
      <c r="I75" s="27"/>
      <c r="J75" s="25"/>
      <c r="K75" s="25"/>
      <c r="L75" s="25"/>
      <c r="M75" s="25"/>
      <c r="N75" s="25"/>
      <c r="O75" s="25"/>
      <c r="P75" s="25"/>
    </row>
    <row r="76" spans="1:18" ht="16.5" thickBot="1" x14ac:dyDescent="0.3">
      <c r="B76" s="29" t="s">
        <v>91</v>
      </c>
      <c r="C76" s="29" t="s">
        <v>5</v>
      </c>
      <c r="D76" s="30"/>
      <c r="E76" s="30"/>
      <c r="F76" s="30"/>
      <c r="G76" s="30"/>
      <c r="H76" s="30">
        <v>43952</v>
      </c>
      <c r="I76" s="30">
        <v>43983</v>
      </c>
      <c r="J76" s="30">
        <v>44013</v>
      </c>
      <c r="K76" s="30">
        <v>44044</v>
      </c>
      <c r="L76" s="30">
        <v>44075</v>
      </c>
      <c r="M76" s="30">
        <v>44105</v>
      </c>
      <c r="N76" s="30">
        <v>44136</v>
      </c>
      <c r="O76" s="30">
        <v>44166</v>
      </c>
      <c r="P76" s="6" t="s">
        <v>150</v>
      </c>
    </row>
    <row r="77" spans="1:18" ht="16.5" thickBot="1" x14ac:dyDescent="0.3">
      <c r="B77" s="89" t="s">
        <v>45</v>
      </c>
      <c r="C77" s="90" t="s">
        <v>101</v>
      </c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2"/>
      <c r="O77" s="93"/>
      <c r="P77" s="51"/>
    </row>
    <row r="78" spans="1:18" ht="15.75" hidden="1" outlineLevel="1" x14ac:dyDescent="0.25">
      <c r="B78" s="81" t="s">
        <v>8</v>
      </c>
      <c r="C78" s="31"/>
      <c r="D78" s="94"/>
      <c r="E78" s="94"/>
      <c r="F78" s="94"/>
      <c r="G78" s="94"/>
      <c r="H78" s="94"/>
      <c r="I78" s="94"/>
      <c r="J78" s="95"/>
      <c r="K78" s="95"/>
      <c r="L78" s="95"/>
      <c r="M78" s="95"/>
      <c r="N78" s="95"/>
      <c r="O78" s="95"/>
      <c r="P78" s="96"/>
    </row>
    <row r="79" spans="1:18" ht="15.75" hidden="1" outlineLevel="1" x14ac:dyDescent="0.25">
      <c r="B79" s="34" t="s">
        <v>102</v>
      </c>
      <c r="C79" s="35" t="s">
        <v>10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61"/>
    </row>
    <row r="80" spans="1:18" ht="15.75" hidden="1" outlineLevel="1" x14ac:dyDescent="0.25">
      <c r="B80" s="34" t="s">
        <v>51</v>
      </c>
      <c r="C80" s="35" t="s">
        <v>10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61"/>
    </row>
    <row r="81" spans="2:27" ht="15.75" hidden="1" outlineLevel="1" x14ac:dyDescent="0.25">
      <c r="B81" s="34" t="s">
        <v>52</v>
      </c>
      <c r="C81" s="35" t="s">
        <v>10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61"/>
    </row>
    <row r="82" spans="2:27" ht="15.75" hidden="1" outlineLevel="1" x14ac:dyDescent="0.25">
      <c r="B82" s="34" t="s">
        <v>53</v>
      </c>
      <c r="C82" s="35" t="s">
        <v>10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61"/>
    </row>
    <row r="83" spans="2:27" ht="15.75" hidden="1" outlineLevel="1" x14ac:dyDescent="0.25">
      <c r="B83" s="39" t="s">
        <v>58</v>
      </c>
      <c r="C83" s="40" t="s">
        <v>10</v>
      </c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57"/>
    </row>
    <row r="84" spans="2:27" ht="15.75" hidden="1" outlineLevel="1" x14ac:dyDescent="0.25">
      <c r="B84" s="34" t="s">
        <v>59</v>
      </c>
      <c r="C84" s="35" t="s">
        <v>10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6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2:27" ht="16.5" hidden="1" outlineLevel="1" thickBot="1" x14ac:dyDescent="0.3">
      <c r="B85" s="97" t="s">
        <v>103</v>
      </c>
      <c r="C85" s="98" t="s">
        <v>10</v>
      </c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100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2:27" ht="15.75" hidden="1" outlineLevel="1" x14ac:dyDescent="0.25">
      <c r="B86" s="101"/>
      <c r="C86" s="102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4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2:27" ht="16.5" hidden="1" outlineLevel="1" thickBot="1" x14ac:dyDescent="0.3">
      <c r="B87" s="73" t="s">
        <v>77</v>
      </c>
      <c r="C87" s="105" t="s">
        <v>32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4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2:27" ht="15.75" hidden="1" outlineLevel="1" x14ac:dyDescent="0.25">
      <c r="B88" s="101" t="s">
        <v>78</v>
      </c>
      <c r="C88" s="87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2:27" ht="16.5" hidden="1" outlineLevel="1" thickBot="1" x14ac:dyDescent="0.3">
      <c r="B89" s="73" t="s">
        <v>104</v>
      </c>
      <c r="C89" s="105" t="s">
        <v>32</v>
      </c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4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2:27" ht="15.75" collapsed="1" x14ac:dyDescent="0.25">
      <c r="B90" s="26"/>
      <c r="C90" s="23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2:27" ht="16.5" thickBot="1" x14ac:dyDescent="0.3">
      <c r="B91" s="25" t="s">
        <v>94</v>
      </c>
      <c r="C91" s="2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2:27" ht="16.5" thickBot="1" x14ac:dyDescent="0.3">
      <c r="B92" s="29" t="s">
        <v>91</v>
      </c>
      <c r="C92" s="29" t="s">
        <v>5</v>
      </c>
      <c r="D92" s="30"/>
      <c r="E92" s="30"/>
      <c r="F92" s="30"/>
      <c r="G92" s="30"/>
      <c r="H92" s="30">
        <f t="shared" ref="H92:P92" si="7">H76</f>
        <v>43952</v>
      </c>
      <c r="I92" s="30">
        <f t="shared" si="7"/>
        <v>43983</v>
      </c>
      <c r="J92" s="30">
        <f t="shared" si="7"/>
        <v>44013</v>
      </c>
      <c r="K92" s="30">
        <f t="shared" si="7"/>
        <v>44044</v>
      </c>
      <c r="L92" s="30">
        <f t="shared" si="7"/>
        <v>44075</v>
      </c>
      <c r="M92" s="30">
        <f t="shared" si="7"/>
        <v>44105</v>
      </c>
      <c r="N92" s="30">
        <f t="shared" si="7"/>
        <v>44136</v>
      </c>
      <c r="O92" s="191">
        <f t="shared" si="7"/>
        <v>44166</v>
      </c>
      <c r="P92" s="197" t="str">
        <f t="shared" si="7"/>
        <v>2020 г.</v>
      </c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2:27" ht="15.75" x14ac:dyDescent="0.25">
      <c r="B93" s="78" t="s">
        <v>45</v>
      </c>
      <c r="C93" s="108" t="s">
        <v>101</v>
      </c>
      <c r="D93" s="204"/>
      <c r="E93" s="204"/>
      <c r="F93" s="204"/>
      <c r="G93" s="204"/>
      <c r="H93" s="204">
        <f t="shared" ref="H93:I93" si="8">H22</f>
        <v>147.70000000000007</v>
      </c>
      <c r="I93" s="204">
        <f t="shared" si="8"/>
        <v>115.00000000000003</v>
      </c>
      <c r="J93" s="204">
        <f t="shared" ref="J93:O93" si="9">J22</f>
        <v>150.6</v>
      </c>
      <c r="K93" s="204">
        <f t="shared" si="9"/>
        <v>150.4</v>
      </c>
      <c r="L93" s="204">
        <f t="shared" si="9"/>
        <v>145.4</v>
      </c>
      <c r="M93" s="204">
        <f t="shared" si="9"/>
        <v>150.6</v>
      </c>
      <c r="N93" s="204">
        <f t="shared" si="9"/>
        <v>145.80000000000001</v>
      </c>
      <c r="O93" s="204">
        <f t="shared" si="9"/>
        <v>150.69999999999999</v>
      </c>
      <c r="P93" s="166">
        <f>SUM(D93:O93)</f>
        <v>1156.2</v>
      </c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2:27" ht="15.75" x14ac:dyDescent="0.25">
      <c r="B94" s="81" t="s">
        <v>8</v>
      </c>
      <c r="C94" s="31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167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2:27" ht="15.75" x14ac:dyDescent="0.25">
      <c r="B95" s="34" t="s">
        <v>48</v>
      </c>
      <c r="C95" s="35" t="s">
        <v>10</v>
      </c>
      <c r="D95" s="205"/>
      <c r="E95" s="205"/>
      <c r="F95" s="205"/>
      <c r="G95" s="205"/>
      <c r="H95" s="205">
        <v>964</v>
      </c>
      <c r="I95" s="205">
        <v>923</v>
      </c>
      <c r="J95" s="205">
        <v>931</v>
      </c>
      <c r="K95" s="205">
        <v>929</v>
      </c>
      <c r="L95" s="205">
        <v>926</v>
      </c>
      <c r="M95" s="205">
        <v>925</v>
      </c>
      <c r="N95" s="205">
        <v>927</v>
      </c>
      <c r="O95" s="205">
        <v>925</v>
      </c>
      <c r="P95" s="8">
        <f>ROUND((D95*$D$93+E95*$E$93+F95*$F$93+G95*$G$93+H95*$H$93+I95*$I$93+J95*$J$93+K95*$K$93+L95*$L$93+M95*$M$93+N95*$N$93+O95*$O$93)/$P$93,0)</f>
        <v>931</v>
      </c>
      <c r="Q95" s="25"/>
      <c r="R95" s="109"/>
      <c r="S95" s="109"/>
      <c r="T95" s="109"/>
      <c r="U95" s="109"/>
      <c r="V95" s="109"/>
      <c r="W95" s="109"/>
      <c r="X95" s="109"/>
      <c r="Y95" s="109"/>
      <c r="Z95" s="109"/>
      <c r="AA95" s="109"/>
    </row>
    <row r="96" spans="2:27" ht="15.75" x14ac:dyDescent="0.25">
      <c r="B96" s="34" t="s">
        <v>49</v>
      </c>
      <c r="C96" s="35" t="s">
        <v>10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8">
        <f t="shared" ref="P96:P104" si="10">ROUND((D96*$D$93+E96*$E$93+F96*$F$93+G96*$G$93+H96*$H$93+I96*$I$93+J96*$J$93+K96*$K$93+L96*$L$93+M96*$M$93+N96*$N$93+O96*$O$93)/$P$93,0)</f>
        <v>0</v>
      </c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2:27" ht="15.75" x14ac:dyDescent="0.25">
      <c r="B97" s="34" t="s">
        <v>50</v>
      </c>
      <c r="C97" s="35" t="s">
        <v>10</v>
      </c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8">
        <f>ROUND((D97*$D$93+E97*$E$93+F97*$F$93+G97*$G$93+H97*$H$93+I97*$I$93+J97*$J$93+K97*$K$93+L97*$L$93+M97*$M$93+N97*$N$93+O97*$O$93)/$P$93,0)</f>
        <v>0</v>
      </c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2:27" ht="15.75" x14ac:dyDescent="0.25">
      <c r="B98" s="34" t="s">
        <v>51</v>
      </c>
      <c r="C98" s="35" t="s">
        <v>10</v>
      </c>
      <c r="D98" s="229"/>
      <c r="E98" s="229"/>
      <c r="F98" s="229"/>
      <c r="G98" s="229"/>
      <c r="H98" s="229">
        <v>8</v>
      </c>
      <c r="I98" s="229">
        <v>10</v>
      </c>
      <c r="J98" s="229">
        <v>8</v>
      </c>
      <c r="K98" s="229">
        <v>8</v>
      </c>
      <c r="L98" s="229">
        <v>8</v>
      </c>
      <c r="M98" s="229">
        <v>8</v>
      </c>
      <c r="N98" s="229">
        <v>8</v>
      </c>
      <c r="O98" s="229">
        <v>8</v>
      </c>
      <c r="P98" s="8">
        <f t="shared" si="10"/>
        <v>8</v>
      </c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2:27" ht="15.75" x14ac:dyDescent="0.25">
      <c r="B99" s="34" t="s">
        <v>109</v>
      </c>
      <c r="C99" s="35" t="s">
        <v>10</v>
      </c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138">
        <f>ROUND((D99*$D$93+E99*$E$93+F99*$F$93+G99*$G$93+H99*$H$93+I99*$I$93+J99*$J$93+K99*$K$93+L99*$L$93+M99*$M$93+N99*$N$93+O99*$O$93)/$P$93,1)</f>
        <v>0</v>
      </c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2:27" ht="15.75" x14ac:dyDescent="0.25">
      <c r="B100" s="34" t="s">
        <v>52</v>
      </c>
      <c r="C100" s="35" t="s">
        <v>10</v>
      </c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8">
        <f t="shared" si="10"/>
        <v>0</v>
      </c>
      <c r="Q100" s="25"/>
      <c r="R100" s="25"/>
      <c r="S100" s="25"/>
      <c r="T100" s="25"/>
      <c r="U100" s="25" t="s">
        <v>97</v>
      </c>
      <c r="V100" s="25"/>
      <c r="W100" s="25"/>
      <c r="X100" s="25"/>
      <c r="Y100" s="25"/>
      <c r="Z100" s="25"/>
      <c r="AA100" s="25"/>
    </row>
    <row r="101" spans="2:27" ht="15.75" x14ac:dyDescent="0.25">
      <c r="B101" s="34" t="s">
        <v>53</v>
      </c>
      <c r="C101" s="35" t="s">
        <v>10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8">
        <f t="shared" si="10"/>
        <v>0</v>
      </c>
      <c r="Q101" s="25"/>
    </row>
    <row r="102" spans="2:27" ht="15.75" x14ac:dyDescent="0.25">
      <c r="B102" s="34" t="s">
        <v>54</v>
      </c>
      <c r="C102" s="35" t="s">
        <v>10</v>
      </c>
      <c r="D102" s="205"/>
      <c r="E102" s="205"/>
      <c r="F102" s="205"/>
      <c r="G102" s="205"/>
      <c r="H102" s="205">
        <v>0</v>
      </c>
      <c r="I102" s="205">
        <v>0</v>
      </c>
      <c r="J102" s="205">
        <v>50</v>
      </c>
      <c r="K102" s="205">
        <v>50</v>
      </c>
      <c r="L102" s="205">
        <v>52</v>
      </c>
      <c r="M102" s="205">
        <v>50</v>
      </c>
      <c r="N102" s="205">
        <v>51</v>
      </c>
      <c r="O102" s="205">
        <v>50</v>
      </c>
      <c r="P102" s="8">
        <f t="shared" si="10"/>
        <v>39</v>
      </c>
      <c r="Q102" s="25"/>
    </row>
    <row r="103" spans="2:27" ht="15.75" x14ac:dyDescent="0.25">
      <c r="B103" s="34" t="s">
        <v>55</v>
      </c>
      <c r="C103" s="35" t="s">
        <v>10</v>
      </c>
      <c r="D103" s="205"/>
      <c r="E103" s="205"/>
      <c r="F103" s="205"/>
      <c r="G103" s="205"/>
      <c r="H103" s="205">
        <v>591</v>
      </c>
      <c r="I103" s="205">
        <v>597</v>
      </c>
      <c r="J103" s="205">
        <v>491</v>
      </c>
      <c r="K103" s="205">
        <v>495</v>
      </c>
      <c r="L103" s="205">
        <v>491</v>
      </c>
      <c r="M103" s="205">
        <v>488</v>
      </c>
      <c r="N103" s="205">
        <v>492</v>
      </c>
      <c r="O103" s="205">
        <v>484</v>
      </c>
      <c r="P103" s="8">
        <f t="shared" si="10"/>
        <v>514</v>
      </c>
      <c r="Q103" s="25"/>
    </row>
    <row r="104" spans="2:27" ht="15.75" x14ac:dyDescent="0.25">
      <c r="B104" s="34" t="s">
        <v>141</v>
      </c>
      <c r="C104" s="35" t="s">
        <v>10</v>
      </c>
      <c r="D104" s="205"/>
      <c r="E104" s="205"/>
      <c r="F104" s="205"/>
      <c r="G104" s="205"/>
      <c r="H104" s="205">
        <v>60</v>
      </c>
      <c r="I104" s="205">
        <v>78</v>
      </c>
      <c r="J104" s="205">
        <v>59</v>
      </c>
      <c r="K104" s="205">
        <v>59</v>
      </c>
      <c r="L104" s="205">
        <v>61</v>
      </c>
      <c r="M104" s="205">
        <v>59</v>
      </c>
      <c r="N104" s="205">
        <v>61</v>
      </c>
      <c r="O104" s="205">
        <v>59</v>
      </c>
      <c r="P104" s="8">
        <f t="shared" si="10"/>
        <v>62</v>
      </c>
      <c r="Q104" s="25"/>
    </row>
    <row r="105" spans="2:27" ht="15.75" x14ac:dyDescent="0.25">
      <c r="B105" s="34" t="s">
        <v>142</v>
      </c>
      <c r="C105" s="35" t="s">
        <v>10</v>
      </c>
      <c r="D105" s="205"/>
      <c r="E105" s="205"/>
      <c r="F105" s="205"/>
      <c r="G105" s="205"/>
      <c r="H105" s="205">
        <v>0</v>
      </c>
      <c r="I105" s="205">
        <v>0</v>
      </c>
      <c r="J105" s="205">
        <v>0</v>
      </c>
      <c r="K105" s="205">
        <v>0</v>
      </c>
      <c r="L105" s="205">
        <v>0</v>
      </c>
      <c r="M105" s="205">
        <v>0</v>
      </c>
      <c r="N105" s="205">
        <v>0</v>
      </c>
      <c r="O105" s="205">
        <v>0</v>
      </c>
      <c r="P105" s="8">
        <f>ROUND((D105*$D$93+E105*$E$93+F105*$F$93+G105*$G$93+H105*$H$93+I105*$I$93+J105*$J$93+K105*$K$93+L105*$L$93+M105*$M$93+N105*$N$93+O105*$O$93)/$P$93,0)</f>
        <v>0</v>
      </c>
      <c r="Q105" s="25"/>
    </row>
    <row r="106" spans="2:27" ht="15.75" x14ac:dyDescent="0.25">
      <c r="B106" s="34" t="s">
        <v>57</v>
      </c>
      <c r="C106" s="35" t="s">
        <v>10</v>
      </c>
      <c r="D106" s="205"/>
      <c r="E106" s="205"/>
      <c r="F106" s="205"/>
      <c r="G106" s="205"/>
      <c r="H106" s="205">
        <v>0</v>
      </c>
      <c r="I106" s="205">
        <v>0</v>
      </c>
      <c r="J106" s="205">
        <v>59</v>
      </c>
      <c r="K106" s="205">
        <v>59</v>
      </c>
      <c r="L106" s="205">
        <v>60</v>
      </c>
      <c r="M106" s="205">
        <v>70</v>
      </c>
      <c r="N106" s="205">
        <v>61</v>
      </c>
      <c r="O106" s="205">
        <v>76</v>
      </c>
      <c r="P106" s="8">
        <f>ROUND((D106*$D$93+E106*$E$93+F106*$F$93+G106*$G$93+H106*$H$93+I106*$I$93+J106*$J$93+K106*$K$93+L106*$L$93+M106*$M$93+N106*$N$93+O106*$O$93)/$P$93,0)</f>
        <v>50</v>
      </c>
      <c r="Q106" s="25"/>
    </row>
    <row r="107" spans="2:27" ht="15.75" x14ac:dyDescent="0.25">
      <c r="B107" s="34" t="s">
        <v>160</v>
      </c>
      <c r="C107" s="35" t="s">
        <v>10</v>
      </c>
      <c r="D107" s="205"/>
      <c r="E107" s="205"/>
      <c r="F107" s="205"/>
      <c r="G107" s="205"/>
      <c r="H107" s="205">
        <v>1</v>
      </c>
      <c r="I107" s="205">
        <v>1</v>
      </c>
      <c r="J107" s="205">
        <v>1</v>
      </c>
      <c r="K107" s="205">
        <v>1</v>
      </c>
      <c r="L107" s="205">
        <v>1</v>
      </c>
      <c r="M107" s="205">
        <v>1</v>
      </c>
      <c r="N107" s="205">
        <v>0</v>
      </c>
      <c r="O107" s="205">
        <v>0</v>
      </c>
      <c r="P107" s="8">
        <f>ROUND((D107*$D$93+E107*$E$93+F107*$F$93+G107*$G$93+H107*$H$93+I107*$I$93+J107*$J$93+K107*$K$93+L107*$L$93+M107*$M$93+N107*$N$93+O107*$O$93)/$P$93,0)</f>
        <v>1</v>
      </c>
      <c r="Q107" s="25"/>
    </row>
    <row r="108" spans="2:27" ht="15.75" x14ac:dyDescent="0.25">
      <c r="B108" s="39" t="s">
        <v>58</v>
      </c>
      <c r="C108" s="40" t="s">
        <v>10</v>
      </c>
      <c r="D108" s="222"/>
      <c r="E108" s="222"/>
      <c r="F108" s="222"/>
      <c r="G108" s="222"/>
      <c r="H108" s="222">
        <f t="shared" ref="H108:O108" si="11">SUM(H95:H107)</f>
        <v>1624</v>
      </c>
      <c r="I108" s="222">
        <f t="shared" si="11"/>
        <v>1609</v>
      </c>
      <c r="J108" s="222">
        <f t="shared" si="11"/>
        <v>1599</v>
      </c>
      <c r="K108" s="222">
        <f t="shared" si="11"/>
        <v>1601</v>
      </c>
      <c r="L108" s="222">
        <f t="shared" si="11"/>
        <v>1599</v>
      </c>
      <c r="M108" s="222">
        <f t="shared" si="11"/>
        <v>1601</v>
      </c>
      <c r="N108" s="222">
        <f t="shared" si="11"/>
        <v>1600</v>
      </c>
      <c r="O108" s="222">
        <f t="shared" si="11"/>
        <v>1602</v>
      </c>
      <c r="P108" s="9">
        <f>SUM(P95:P107)</f>
        <v>1605</v>
      </c>
      <c r="Q108" s="60"/>
    </row>
    <row r="109" spans="2:27" ht="15.75" x14ac:dyDescent="0.25">
      <c r="B109" s="34" t="s">
        <v>59</v>
      </c>
      <c r="C109" s="35" t="s">
        <v>10</v>
      </c>
      <c r="D109" s="229"/>
      <c r="E109" s="229"/>
      <c r="F109" s="229"/>
      <c r="G109" s="229"/>
      <c r="H109" s="229"/>
      <c r="I109" s="229"/>
      <c r="J109" s="229"/>
      <c r="K109" s="229"/>
      <c r="L109" s="229"/>
      <c r="M109" s="229"/>
      <c r="N109" s="229"/>
      <c r="O109" s="229"/>
      <c r="P109" s="121">
        <f t="shared" ref="P109:P112" si="12">ROUND((D109*$D$93+E109*$E$93+F109*$F$93+G109*$G$93+H109*$H$93+I109*$I$93+J109*$J$93+K109*$K$93+L109*$L$93+M109*$M$93+N109*$N$93+O109*$O$93)/$P$93,0)</f>
        <v>0</v>
      </c>
      <c r="Q109" s="25"/>
    </row>
    <row r="110" spans="2:27" ht="15.75" x14ac:dyDescent="0.25">
      <c r="B110" s="34" t="s">
        <v>60</v>
      </c>
      <c r="C110" s="35" t="s">
        <v>10</v>
      </c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121">
        <f>ROUND((D110*$D$93+E110*$E$93+F110*$F$93+G110*$G$93+H110*$H$93+I110*$I$93+J110*$J$93+K110*$K$93+L110*$L$93+M110*$M$93+N110*$N$93+O110*$O$93)/$P$93,0)</f>
        <v>0</v>
      </c>
      <c r="Q110" s="25"/>
    </row>
    <row r="111" spans="2:27" ht="15.75" x14ac:dyDescent="0.25">
      <c r="B111" s="34" t="s">
        <v>105</v>
      </c>
      <c r="C111" s="35" t="s">
        <v>10</v>
      </c>
      <c r="D111" s="205"/>
      <c r="E111" s="205"/>
      <c r="F111" s="205"/>
      <c r="G111" s="205"/>
      <c r="H111" s="205">
        <v>101</v>
      </c>
      <c r="I111" s="205">
        <v>97</v>
      </c>
      <c r="J111" s="205">
        <v>98</v>
      </c>
      <c r="K111" s="205">
        <v>98</v>
      </c>
      <c r="L111" s="205">
        <v>97</v>
      </c>
      <c r="M111" s="205">
        <v>101</v>
      </c>
      <c r="N111" s="205">
        <v>101</v>
      </c>
      <c r="O111" s="205">
        <v>101</v>
      </c>
      <c r="P111" s="8">
        <f t="shared" si="12"/>
        <v>99</v>
      </c>
      <c r="Q111" s="25"/>
    </row>
    <row r="112" spans="2:27" ht="15.75" x14ac:dyDescent="0.25">
      <c r="B112" s="34" t="s">
        <v>71</v>
      </c>
      <c r="C112" s="35" t="s">
        <v>10</v>
      </c>
      <c r="D112" s="230"/>
      <c r="E112" s="230"/>
      <c r="F112" s="230"/>
      <c r="G112" s="230"/>
      <c r="H112" s="230">
        <f t="shared" ref="H112:J112" si="13">H96</f>
        <v>0</v>
      </c>
      <c r="I112" s="230">
        <f t="shared" si="13"/>
        <v>0</v>
      </c>
      <c r="J112" s="230">
        <f t="shared" si="13"/>
        <v>0</v>
      </c>
      <c r="K112" s="230">
        <f t="shared" ref="K112:O112" si="14">K96</f>
        <v>0</v>
      </c>
      <c r="L112" s="230">
        <f t="shared" si="14"/>
        <v>0</v>
      </c>
      <c r="M112" s="230">
        <f t="shared" si="14"/>
        <v>0</v>
      </c>
      <c r="N112" s="230">
        <f t="shared" si="14"/>
        <v>0</v>
      </c>
      <c r="O112" s="230">
        <f t="shared" si="14"/>
        <v>0</v>
      </c>
      <c r="P112" s="122">
        <f t="shared" si="12"/>
        <v>0</v>
      </c>
      <c r="Q112" s="80"/>
    </row>
    <row r="113" spans="2:17" ht="15.75" x14ac:dyDescent="0.25">
      <c r="B113" s="97" t="s">
        <v>72</v>
      </c>
      <c r="C113" s="35" t="s">
        <v>10</v>
      </c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122">
        <f>ROUND((D113*$D$93+E113*$E$93+F113*$F$93+G113*$G$93+H113*$H$93+I113*$I$93+J113*$J$93+K113*$K$93+L113*$L$93+M113*$M$93+N113*$N$93+O113*$O$93)/$P$93,0)</f>
        <v>0</v>
      </c>
      <c r="Q113" s="80"/>
    </row>
    <row r="114" spans="2:17" ht="16.5" thickBot="1" x14ac:dyDescent="0.3">
      <c r="B114" s="89" t="s">
        <v>103</v>
      </c>
      <c r="C114" s="110" t="s">
        <v>10</v>
      </c>
      <c r="D114" s="231"/>
      <c r="E114" s="231"/>
      <c r="F114" s="231"/>
      <c r="G114" s="231"/>
      <c r="H114" s="231">
        <v>319</v>
      </c>
      <c r="I114" s="231">
        <v>303</v>
      </c>
      <c r="J114" s="231">
        <v>289</v>
      </c>
      <c r="K114" s="231">
        <v>291</v>
      </c>
      <c r="L114" s="231">
        <v>288</v>
      </c>
      <c r="M114" s="231">
        <v>291</v>
      </c>
      <c r="N114" s="231">
        <v>290</v>
      </c>
      <c r="O114" s="231">
        <v>291</v>
      </c>
      <c r="P114" s="123">
        <f>ROUND((D114*$D$93+E114*$E$93+F114*$F$93+G114*$G$93+H114*$H$93+I114*$I$93+J114*$J$93+K114*$K$93+L114*$L$93+M114*$M$93+N114*$N$93+O114*$O$93)/$P$93,0)</f>
        <v>295</v>
      </c>
      <c r="Q114" s="77"/>
    </row>
    <row r="115" spans="2:17" ht="15.75" x14ac:dyDescent="0.25">
      <c r="B115" s="111"/>
      <c r="C115" s="87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124"/>
      <c r="Q115" s="25"/>
    </row>
    <row r="116" spans="2:17" ht="16.5" thickBot="1" x14ac:dyDescent="0.3">
      <c r="B116" s="112" t="s">
        <v>77</v>
      </c>
      <c r="C116" s="105" t="s">
        <v>32</v>
      </c>
      <c r="D116" s="117"/>
      <c r="E116" s="117"/>
      <c r="F116" s="117"/>
      <c r="G116" s="117"/>
      <c r="H116" s="117">
        <v>59.01</v>
      </c>
      <c r="I116" s="117">
        <v>59.58</v>
      </c>
      <c r="J116" s="117">
        <v>60.03</v>
      </c>
      <c r="K116" s="117">
        <v>59.96</v>
      </c>
      <c r="L116" s="117">
        <v>60.06</v>
      </c>
      <c r="M116" s="117">
        <v>59.99</v>
      </c>
      <c r="N116" s="117">
        <v>60.02</v>
      </c>
      <c r="O116" s="117">
        <v>59.96</v>
      </c>
      <c r="P116" s="118">
        <f>ROUND((D116*$D$93+E116*$E$93+F116*$F$93+G116*$G$93+H116*$H$93+I116*$I$93+J116*$J$93+K116*$K$93+L116*$L$93+M116*$M$93+N116*$N$93+O116*$O$93)/$P$93,2)</f>
        <v>59.83</v>
      </c>
      <c r="Q116" s="60"/>
    </row>
    <row r="117" spans="2:17" ht="15.75" x14ac:dyDescent="0.25">
      <c r="B117" s="101" t="s">
        <v>78</v>
      </c>
      <c r="C117" s="102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6"/>
      <c r="Q117" s="60"/>
    </row>
    <row r="118" spans="2:17" ht="16.5" thickBot="1" x14ac:dyDescent="0.3">
      <c r="B118" s="73" t="s">
        <v>104</v>
      </c>
      <c r="C118" s="105" t="s">
        <v>32</v>
      </c>
      <c r="D118" s="117"/>
      <c r="E118" s="117"/>
      <c r="F118" s="117"/>
      <c r="G118" s="117"/>
      <c r="H118" s="117">
        <f t="shared" ref="H118:J118" si="15">H116</f>
        <v>59.01</v>
      </c>
      <c r="I118" s="117">
        <f t="shared" si="15"/>
        <v>59.58</v>
      </c>
      <c r="J118" s="117">
        <f t="shared" si="15"/>
        <v>60.03</v>
      </c>
      <c r="K118" s="117">
        <f t="shared" ref="K118:O118" si="16">K116</f>
        <v>59.96</v>
      </c>
      <c r="L118" s="117">
        <f t="shared" si="16"/>
        <v>60.06</v>
      </c>
      <c r="M118" s="117">
        <f t="shared" si="16"/>
        <v>59.99</v>
      </c>
      <c r="N118" s="117">
        <f t="shared" si="16"/>
        <v>60.02</v>
      </c>
      <c r="O118" s="117">
        <f t="shared" si="16"/>
        <v>59.96</v>
      </c>
      <c r="P118" s="118">
        <f>ROUND((D118*$D$93+E118*$E$93+F118*$F$93+G118*$G$93+H118*$H$93+I118*$I$93+J118*$J$93+K118*$K$93+L118*$L$93+M118*$M$93+N118*$N$93+O118*$O$93)/$P$93,2)</f>
        <v>59.83</v>
      </c>
      <c r="Q118" s="60"/>
    </row>
    <row r="119" spans="2:17" ht="15.75" x14ac:dyDescent="0.25">
      <c r="B119" s="26"/>
      <c r="C119" s="86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60"/>
      <c r="Q119" s="60"/>
    </row>
    <row r="120" spans="2:17" ht="16.5" thickBot="1" x14ac:dyDescent="0.3">
      <c r="B120" s="25" t="s">
        <v>96</v>
      </c>
      <c r="C120" s="27"/>
      <c r="D120" s="44"/>
      <c r="E120" s="44"/>
      <c r="F120" s="44"/>
      <c r="G120" s="44"/>
      <c r="H120" s="44"/>
      <c r="I120" s="44"/>
      <c r="J120" s="77"/>
      <c r="K120" s="77"/>
      <c r="L120" s="77"/>
      <c r="M120" s="77"/>
      <c r="N120" s="77"/>
      <c r="O120" s="77"/>
      <c r="P120" s="77"/>
      <c r="Q120" s="60"/>
    </row>
    <row r="121" spans="2:17" ht="16.5" thickBot="1" x14ac:dyDescent="0.3">
      <c r="B121" s="29" t="s">
        <v>91</v>
      </c>
      <c r="C121" s="29" t="s">
        <v>5</v>
      </c>
      <c r="D121" s="30"/>
      <c r="E121" s="30"/>
      <c r="F121" s="30"/>
      <c r="G121" s="30"/>
      <c r="H121" s="30">
        <f t="shared" ref="H121:P121" si="17">H92</f>
        <v>43952</v>
      </c>
      <c r="I121" s="30">
        <f t="shared" si="17"/>
        <v>43983</v>
      </c>
      <c r="J121" s="30">
        <f t="shared" si="17"/>
        <v>44013</v>
      </c>
      <c r="K121" s="30">
        <f t="shared" si="17"/>
        <v>44044</v>
      </c>
      <c r="L121" s="30">
        <f t="shared" si="17"/>
        <v>44075</v>
      </c>
      <c r="M121" s="30">
        <f t="shared" si="17"/>
        <v>44105</v>
      </c>
      <c r="N121" s="30">
        <f t="shared" si="17"/>
        <v>44136</v>
      </c>
      <c r="O121" s="191">
        <f t="shared" si="17"/>
        <v>44166</v>
      </c>
      <c r="P121" s="197" t="str">
        <f t="shared" si="17"/>
        <v>2020 г.</v>
      </c>
      <c r="Q121" s="60"/>
    </row>
    <row r="122" spans="2:17" ht="15.75" x14ac:dyDescent="0.25">
      <c r="B122" s="34" t="s">
        <v>45</v>
      </c>
      <c r="C122" s="31" t="s">
        <v>101</v>
      </c>
      <c r="D122" s="204"/>
      <c r="E122" s="204"/>
      <c r="F122" s="204"/>
      <c r="G122" s="204"/>
      <c r="H122" s="204">
        <f t="shared" ref="H122:O122" si="18">H36</f>
        <v>174.90000000000003</v>
      </c>
      <c r="I122" s="204">
        <f t="shared" si="18"/>
        <v>168.4</v>
      </c>
      <c r="J122" s="204">
        <f t="shared" ref="J122" si="19">J36</f>
        <v>0.4</v>
      </c>
      <c r="K122" s="204"/>
      <c r="L122" s="204"/>
      <c r="M122" s="204"/>
      <c r="N122" s="204">
        <f t="shared" si="18"/>
        <v>18.100000000000001</v>
      </c>
      <c r="O122" s="204">
        <f t="shared" si="18"/>
        <v>171.3000000000001</v>
      </c>
      <c r="P122" s="166">
        <f>SUM(D122:O122)</f>
        <v>533.10000000000014</v>
      </c>
      <c r="Q122" s="60"/>
    </row>
    <row r="123" spans="2:17" ht="15.75" x14ac:dyDescent="0.25">
      <c r="B123" s="34" t="s">
        <v>8</v>
      </c>
      <c r="C123" s="35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1"/>
      <c r="Q123" s="60"/>
    </row>
    <row r="124" spans="2:17" ht="15.75" x14ac:dyDescent="0.25">
      <c r="B124" s="34" t="s">
        <v>48</v>
      </c>
      <c r="C124" s="35" t="s">
        <v>10</v>
      </c>
      <c r="D124" s="7"/>
      <c r="E124" s="7"/>
      <c r="F124" s="7"/>
      <c r="G124" s="7"/>
      <c r="H124" s="7">
        <v>1071</v>
      </c>
      <c r="I124" s="7">
        <v>1027</v>
      </c>
      <c r="J124" s="7">
        <v>1114</v>
      </c>
      <c r="K124" s="7"/>
      <c r="L124" s="7"/>
      <c r="M124" s="7"/>
      <c r="N124" s="7">
        <v>1114</v>
      </c>
      <c r="O124" s="7">
        <v>1077</v>
      </c>
      <c r="P124" s="8">
        <f>ROUND((D124*$D$122+E124*$E$122+F124*$F$122+G124*$G$122+H124*$H$122+I124*$I$122+J124*$J$122+K124*$K$122+L124*$L$122+M124*$M$122+N124*$N$122+O124*$O$122)/$P$122,0)</f>
        <v>1061</v>
      </c>
      <c r="Q124" s="60"/>
    </row>
    <row r="125" spans="2:17" ht="15.75" x14ac:dyDescent="0.25">
      <c r="B125" s="34" t="s">
        <v>51</v>
      </c>
      <c r="C125" s="35" t="s">
        <v>10</v>
      </c>
      <c r="D125" s="229"/>
      <c r="E125" s="229"/>
      <c r="F125" s="229"/>
      <c r="G125" s="229"/>
      <c r="H125" s="229">
        <v>8</v>
      </c>
      <c r="I125" s="229">
        <v>10</v>
      </c>
      <c r="J125" s="229">
        <v>8</v>
      </c>
      <c r="K125" s="229"/>
      <c r="L125" s="229"/>
      <c r="M125" s="229"/>
      <c r="N125" s="229">
        <v>8</v>
      </c>
      <c r="O125" s="229">
        <v>8</v>
      </c>
      <c r="P125" s="8">
        <f t="shared" ref="P125:P134" si="20">ROUND((D125*$D$122+E125*$E$122+F125*$F$122+G125*$G$122+H125*$H$122+I125*$I$122+J125*$J$122+K125*$K$122+L125*$L$122+M125*$M$122+N125*$N$122+O125*$O$122)/$P$122,0)</f>
        <v>9</v>
      </c>
      <c r="Q125" s="60"/>
    </row>
    <row r="126" spans="2:17" ht="15.75" x14ac:dyDescent="0.25">
      <c r="B126" s="34" t="s">
        <v>109</v>
      </c>
      <c r="C126" s="35" t="s">
        <v>10</v>
      </c>
      <c r="D126" s="229"/>
      <c r="E126" s="229"/>
      <c r="F126" s="229"/>
      <c r="G126" s="229"/>
      <c r="H126" s="229"/>
      <c r="I126" s="229"/>
      <c r="J126" s="229"/>
      <c r="K126" s="229"/>
      <c r="L126" s="229"/>
      <c r="M126" s="229"/>
      <c r="N126" s="229"/>
      <c r="O126" s="229"/>
      <c r="P126" s="138">
        <f>ROUND((D126*$D$122+E126*$E$122+F126*$F$122+G126*$G$122+H126*$H$122+I126*$I$122+J126*$J$122+K126*$K$122+L126*$L$122+M126*$M$122+N126*$N$122+O126*$O$122)/$P$122,1)</f>
        <v>0</v>
      </c>
      <c r="Q126" s="60"/>
    </row>
    <row r="127" spans="2:17" ht="15.75" x14ac:dyDescent="0.25">
      <c r="B127" s="34" t="s">
        <v>52</v>
      </c>
      <c r="C127" s="35" t="s">
        <v>10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8">
        <f t="shared" si="20"/>
        <v>0</v>
      </c>
      <c r="Q127" s="60"/>
    </row>
    <row r="128" spans="2:17" ht="15.75" x14ac:dyDescent="0.25">
      <c r="B128" s="34" t="s">
        <v>53</v>
      </c>
      <c r="C128" s="35" t="s">
        <v>10</v>
      </c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8">
        <f t="shared" si="20"/>
        <v>0</v>
      </c>
      <c r="Q128" s="60"/>
    </row>
    <row r="129" spans="2:26" ht="15.75" x14ac:dyDescent="0.25">
      <c r="B129" s="34" t="s">
        <v>54</v>
      </c>
      <c r="C129" s="35" t="s">
        <v>10</v>
      </c>
      <c r="D129" s="205"/>
      <c r="E129" s="205"/>
      <c r="F129" s="205"/>
      <c r="G129" s="205"/>
      <c r="H129" s="205">
        <v>43</v>
      </c>
      <c r="I129" s="205">
        <v>45</v>
      </c>
      <c r="J129" s="205">
        <v>0</v>
      </c>
      <c r="K129" s="205"/>
      <c r="L129" s="205"/>
      <c r="M129" s="205"/>
      <c r="N129" s="205">
        <v>0</v>
      </c>
      <c r="O129" s="205">
        <v>0</v>
      </c>
      <c r="P129" s="8">
        <f t="shared" si="20"/>
        <v>28</v>
      </c>
      <c r="Q129" s="60"/>
    </row>
    <row r="130" spans="2:26" ht="15.75" x14ac:dyDescent="0.25">
      <c r="B130" s="34" t="s">
        <v>55</v>
      </c>
      <c r="C130" s="35" t="s">
        <v>10</v>
      </c>
      <c r="D130" s="205"/>
      <c r="E130" s="205"/>
      <c r="F130" s="205"/>
      <c r="G130" s="205"/>
      <c r="H130" s="205">
        <v>532</v>
      </c>
      <c r="I130" s="205">
        <v>521</v>
      </c>
      <c r="J130" s="205">
        <v>488</v>
      </c>
      <c r="K130" s="205"/>
      <c r="L130" s="205"/>
      <c r="M130" s="205"/>
      <c r="N130" s="205">
        <v>490</v>
      </c>
      <c r="O130" s="205">
        <v>469</v>
      </c>
      <c r="P130" s="8">
        <f t="shared" si="20"/>
        <v>507</v>
      </c>
      <c r="Q130" s="60"/>
    </row>
    <row r="131" spans="2:26" ht="15.75" x14ac:dyDescent="0.25">
      <c r="B131" s="34" t="s">
        <v>56</v>
      </c>
      <c r="C131" s="35" t="s">
        <v>10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8">
        <f t="shared" si="20"/>
        <v>0</v>
      </c>
      <c r="Q131" s="60"/>
    </row>
    <row r="132" spans="2:26" ht="15.75" x14ac:dyDescent="0.25">
      <c r="B132" s="34" t="s">
        <v>141</v>
      </c>
      <c r="C132" s="35" t="s">
        <v>10</v>
      </c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8">
        <f>ROUND((D132*$D$122+E132*$E$122+F132*$F$122+G132*$G$122+H132*$H$122+I132*$I$122+J132*$J$122+K132*$K$122+L132*$L$122+M132*$M$122+N132*$N$122+O132*$O$122)/$P$122,0)</f>
        <v>0</v>
      </c>
      <c r="Q132" s="60"/>
    </row>
    <row r="133" spans="2:26" ht="15.75" x14ac:dyDescent="0.25">
      <c r="B133" s="34" t="s">
        <v>142</v>
      </c>
      <c r="C133" s="35" t="s">
        <v>10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8">
        <f>ROUND((D133*$D$122+E133*$E$122+F133*$F$122+G133*$G$122+H133*$H$122+I133*$I$122+J133*$J$122+K133*$K$122+L133*$L$122+M133*$M$122+N133*$N$122+O133*$O$122)/$P$122,0)</f>
        <v>0</v>
      </c>
      <c r="Q133" s="60"/>
    </row>
    <row r="134" spans="2:26" ht="15.75" x14ac:dyDescent="0.25">
      <c r="B134" s="34" t="s">
        <v>57</v>
      </c>
      <c r="C134" s="35" t="s">
        <v>10</v>
      </c>
      <c r="D134" s="205"/>
      <c r="E134" s="205"/>
      <c r="F134" s="205"/>
      <c r="G134" s="205"/>
      <c r="H134" s="205">
        <v>0</v>
      </c>
      <c r="I134" s="205">
        <v>56</v>
      </c>
      <c r="J134" s="205">
        <v>0</v>
      </c>
      <c r="K134" s="205"/>
      <c r="L134" s="205"/>
      <c r="M134" s="205"/>
      <c r="N134" s="205">
        <v>0</v>
      </c>
      <c r="O134" s="205">
        <v>74</v>
      </c>
      <c r="P134" s="8">
        <f t="shared" si="20"/>
        <v>41</v>
      </c>
      <c r="Q134" s="60"/>
    </row>
    <row r="135" spans="2:26" ht="15.75" x14ac:dyDescent="0.25">
      <c r="B135" s="39" t="s">
        <v>58</v>
      </c>
      <c r="C135" s="40" t="s">
        <v>10</v>
      </c>
      <c r="D135" s="222"/>
      <c r="E135" s="222"/>
      <c r="F135" s="222"/>
      <c r="G135" s="222"/>
      <c r="H135" s="222">
        <f>SUM(H124:H134)</f>
        <v>1654</v>
      </c>
      <c r="I135" s="222">
        <f t="shared" ref="I135:J135" si="21">SUM(I124:I134)</f>
        <v>1659</v>
      </c>
      <c r="J135" s="222">
        <f t="shared" si="21"/>
        <v>1610</v>
      </c>
      <c r="K135" s="222"/>
      <c r="L135" s="222"/>
      <c r="M135" s="222"/>
      <c r="N135" s="222">
        <f t="shared" ref="N135:O135" si="22">SUM(N124:N134)</f>
        <v>1612</v>
      </c>
      <c r="O135" s="222">
        <f t="shared" si="22"/>
        <v>1628</v>
      </c>
      <c r="P135" s="9">
        <f>SUM(P124:P134)</f>
        <v>1646</v>
      </c>
      <c r="Q135" s="60"/>
    </row>
    <row r="136" spans="2:26" ht="15.75" x14ac:dyDescent="0.25">
      <c r="B136" s="34" t="s">
        <v>59</v>
      </c>
      <c r="C136" s="35" t="s">
        <v>10</v>
      </c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1">
        <f t="shared" ref="P136:P141" si="23">ROUND((D136*$D$122+E136*$E$122+F136*$F$122+G136*$G$122+H136*$H$122+I136*$I$122+J136*$J$122+K136*$K$122+L136*$L$122+M136*$M$122+N136*$N$122+O136*$O$122)/$P$122,1)</f>
        <v>0</v>
      </c>
      <c r="Q136" s="60"/>
    </row>
    <row r="137" spans="2:26" ht="15.75" x14ac:dyDescent="0.25">
      <c r="B137" s="34" t="s">
        <v>105</v>
      </c>
      <c r="C137" s="35" t="s">
        <v>10</v>
      </c>
      <c r="D137" s="7"/>
      <c r="E137" s="7"/>
      <c r="F137" s="7"/>
      <c r="G137" s="7"/>
      <c r="H137" s="7">
        <v>112</v>
      </c>
      <c r="I137" s="7">
        <v>108</v>
      </c>
      <c r="J137" s="7">
        <v>117</v>
      </c>
      <c r="K137" s="7"/>
      <c r="L137" s="7"/>
      <c r="M137" s="7"/>
      <c r="N137" s="7">
        <v>121</v>
      </c>
      <c r="O137" s="7">
        <v>117</v>
      </c>
      <c r="P137" s="8">
        <f t="shared" si="23"/>
        <v>112.7</v>
      </c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2:26" ht="15.75" x14ac:dyDescent="0.25">
      <c r="B138" s="34" t="s">
        <v>71</v>
      </c>
      <c r="C138" s="35" t="s">
        <v>10</v>
      </c>
      <c r="D138" s="233"/>
      <c r="E138" s="233"/>
      <c r="F138" s="233"/>
      <c r="G138" s="233"/>
      <c r="H138" s="233">
        <f t="shared" ref="H138" si="24">(H96-H112)*H93/H122</f>
        <v>0</v>
      </c>
      <c r="I138" s="233">
        <f t="shared" ref="I138:J138" si="25">(I96-I112)*I93/I122</f>
        <v>0</v>
      </c>
      <c r="J138" s="233">
        <f t="shared" si="25"/>
        <v>0</v>
      </c>
      <c r="K138" s="233"/>
      <c r="L138" s="233"/>
      <c r="M138" s="233"/>
      <c r="N138" s="233">
        <f t="shared" ref="N138:O138" si="26">(N96-N112)*N93/N122</f>
        <v>0</v>
      </c>
      <c r="O138" s="233">
        <f t="shared" si="26"/>
        <v>0</v>
      </c>
      <c r="P138" s="122">
        <f t="shared" si="23"/>
        <v>0</v>
      </c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2:26" ht="15.75" x14ac:dyDescent="0.25">
      <c r="B139" s="97" t="s">
        <v>72</v>
      </c>
      <c r="C139" s="35" t="s">
        <v>10</v>
      </c>
      <c r="D139" s="233"/>
      <c r="E139" s="233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122">
        <f t="shared" si="23"/>
        <v>0</v>
      </c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2:26" ht="15.75" x14ac:dyDescent="0.25">
      <c r="B140" s="97" t="s">
        <v>75</v>
      </c>
      <c r="C140" s="35" t="s">
        <v>10</v>
      </c>
      <c r="D140" s="234"/>
      <c r="E140" s="234"/>
      <c r="F140" s="234"/>
      <c r="G140" s="234"/>
      <c r="H140" s="234">
        <v>2.1</v>
      </c>
      <c r="I140" s="234">
        <v>2</v>
      </c>
      <c r="J140" s="253">
        <v>5.0000000000000001E-3</v>
      </c>
      <c r="K140" s="234"/>
      <c r="L140" s="234"/>
      <c r="M140" s="253"/>
      <c r="N140" s="234">
        <v>0.22</v>
      </c>
      <c r="O140" s="234">
        <v>2.1</v>
      </c>
      <c r="P140" s="128">
        <f t="shared" si="23"/>
        <v>2</v>
      </c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2:26" ht="16.5" thickBot="1" x14ac:dyDescent="0.3">
      <c r="B141" s="89" t="s">
        <v>103</v>
      </c>
      <c r="C141" s="110" t="s">
        <v>10</v>
      </c>
      <c r="D141" s="129"/>
      <c r="E141" s="129"/>
      <c r="F141" s="129"/>
      <c r="G141" s="129"/>
      <c r="H141" s="129">
        <v>351</v>
      </c>
      <c r="I141" s="129">
        <v>352</v>
      </c>
      <c r="J141" s="129">
        <v>304</v>
      </c>
      <c r="K141" s="129"/>
      <c r="L141" s="129"/>
      <c r="M141" s="129"/>
      <c r="N141" s="129">
        <v>306</v>
      </c>
      <c r="O141" s="129">
        <v>319</v>
      </c>
      <c r="P141" s="123">
        <f t="shared" si="23"/>
        <v>339.5</v>
      </c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2:26" ht="15.75" x14ac:dyDescent="0.25">
      <c r="B142" s="111"/>
      <c r="C142" s="87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124"/>
      <c r="Q142" s="60"/>
      <c r="R142" s="60"/>
      <c r="S142" s="60"/>
      <c r="T142" s="60"/>
      <c r="U142" s="60"/>
      <c r="V142" s="60"/>
      <c r="W142" s="60"/>
      <c r="X142" s="60"/>
      <c r="Y142" s="60"/>
      <c r="Z142" s="60" t="s">
        <v>97</v>
      </c>
    </row>
    <row r="143" spans="2:26" ht="16.5" thickBot="1" x14ac:dyDescent="0.3">
      <c r="B143" s="112" t="s">
        <v>77</v>
      </c>
      <c r="C143" s="105" t="s">
        <v>32</v>
      </c>
      <c r="D143" s="119"/>
      <c r="E143" s="119"/>
      <c r="F143" s="119"/>
      <c r="G143" s="119"/>
      <c r="H143" s="119">
        <v>57.95</v>
      </c>
      <c r="I143" s="119">
        <v>57.89</v>
      </c>
      <c r="J143" s="119">
        <v>59.53</v>
      </c>
      <c r="K143" s="119"/>
      <c r="L143" s="119"/>
      <c r="M143" s="119"/>
      <c r="N143" s="119">
        <v>59.46</v>
      </c>
      <c r="O143" s="119">
        <v>59.02</v>
      </c>
      <c r="P143" s="118">
        <f>ROUND((D143*$D$122+E143*$E$122+F143*$F$122+G143*$G$122+H143*$H$122+I143*$I$122+J143*$J$122+K143*$K$122+L143*$L$122+M143*$M$122+N143*$N$122+O143*$O$122)/$P$122,2)</f>
        <v>58.33</v>
      </c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2:26" ht="15.75" x14ac:dyDescent="0.25">
      <c r="B144" s="101" t="s">
        <v>78</v>
      </c>
      <c r="C144" s="102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26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2:26" ht="16.5" thickBot="1" x14ac:dyDescent="0.3">
      <c r="B145" s="73" t="s">
        <v>104</v>
      </c>
      <c r="C145" s="105" t="s">
        <v>32</v>
      </c>
      <c r="D145" s="117"/>
      <c r="E145" s="117"/>
      <c r="F145" s="117"/>
      <c r="G145" s="117"/>
      <c r="H145" s="117">
        <f>H143</f>
        <v>57.95</v>
      </c>
      <c r="I145" s="117">
        <f t="shared" ref="I145:O145" si="27">I143</f>
        <v>57.89</v>
      </c>
      <c r="J145" s="117">
        <f t="shared" ref="J145" si="28">J143</f>
        <v>59.53</v>
      </c>
      <c r="K145" s="117"/>
      <c r="L145" s="117"/>
      <c r="M145" s="117"/>
      <c r="N145" s="117">
        <f t="shared" si="27"/>
        <v>59.46</v>
      </c>
      <c r="O145" s="117">
        <f t="shared" si="27"/>
        <v>59.02</v>
      </c>
      <c r="P145" s="118">
        <f>ROUND((D145*$D$122+E145*$E$122+F145*$F$122+G145*$G$122+H145*$H$122+I145*$I$122+J145*$J$122+K145*$K$122+L145*$L$122+M145*$M$122+N145*$N$122+O145*$O$122)/$P$122,2)</f>
        <v>58.33</v>
      </c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2:26" ht="15.75" x14ac:dyDescent="0.25">
      <c r="B146" s="26"/>
      <c r="C146" s="86"/>
      <c r="D146" s="113"/>
      <c r="E146" s="113"/>
      <c r="F146" s="113"/>
      <c r="G146" s="113"/>
      <c r="H146" s="113"/>
      <c r="I146" s="113"/>
      <c r="J146" s="113"/>
      <c r="K146" s="114"/>
      <c r="L146" s="113"/>
      <c r="M146" s="113"/>
      <c r="N146" s="113"/>
      <c r="O146" s="113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2:26" ht="16.5" thickBot="1" x14ac:dyDescent="0.3">
      <c r="B147" s="25" t="s">
        <v>98</v>
      </c>
      <c r="C147" s="27"/>
      <c r="D147" s="44"/>
      <c r="E147" s="44"/>
      <c r="F147" s="44"/>
      <c r="G147" s="44"/>
      <c r="H147" s="44"/>
      <c r="I147" s="44"/>
      <c r="J147" s="77"/>
      <c r="K147" s="77"/>
      <c r="L147" s="77"/>
      <c r="M147" s="77"/>
      <c r="N147" s="77"/>
      <c r="O147" s="77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2:26" ht="16.5" thickBot="1" x14ac:dyDescent="0.3">
      <c r="B148" s="29" t="s">
        <v>91</v>
      </c>
      <c r="C148" s="29" t="s">
        <v>5</v>
      </c>
      <c r="D148" s="30"/>
      <c r="E148" s="30"/>
      <c r="F148" s="30"/>
      <c r="G148" s="30"/>
      <c r="H148" s="30">
        <f t="shared" ref="H148:P148" si="29">H121</f>
        <v>43952</v>
      </c>
      <c r="I148" s="30">
        <f t="shared" si="29"/>
        <v>43983</v>
      </c>
      <c r="J148" s="30">
        <f t="shared" si="29"/>
        <v>44013</v>
      </c>
      <c r="K148" s="30">
        <f t="shared" si="29"/>
        <v>44044</v>
      </c>
      <c r="L148" s="30">
        <f t="shared" si="29"/>
        <v>44075</v>
      </c>
      <c r="M148" s="30">
        <f t="shared" si="29"/>
        <v>44105</v>
      </c>
      <c r="N148" s="30">
        <f t="shared" si="29"/>
        <v>44136</v>
      </c>
      <c r="O148" s="191">
        <f t="shared" si="29"/>
        <v>44166</v>
      </c>
      <c r="P148" s="197" t="str">
        <f t="shared" si="29"/>
        <v>2020 г.</v>
      </c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2:26" ht="15.75" x14ac:dyDescent="0.25">
      <c r="B149" s="34" t="s">
        <v>45</v>
      </c>
      <c r="C149" s="31" t="s">
        <v>101</v>
      </c>
      <c r="D149" s="235"/>
      <c r="E149" s="235"/>
      <c r="F149" s="235"/>
      <c r="G149" s="235"/>
      <c r="H149" s="235">
        <f t="shared" ref="H149:O149" si="30">H54</f>
        <v>238.60000000000011</v>
      </c>
      <c r="I149" s="235">
        <f t="shared" si="30"/>
        <v>230.70000000000013</v>
      </c>
      <c r="J149" s="235">
        <f t="shared" si="30"/>
        <v>241.4</v>
      </c>
      <c r="K149" s="235">
        <f t="shared" si="30"/>
        <v>241.4</v>
      </c>
      <c r="L149" s="235">
        <f t="shared" si="30"/>
        <v>232.4</v>
      </c>
      <c r="M149" s="235">
        <f t="shared" si="30"/>
        <v>240.2</v>
      </c>
      <c r="N149" s="235">
        <f t="shared" si="30"/>
        <v>232.4</v>
      </c>
      <c r="O149" s="235">
        <f t="shared" si="30"/>
        <v>47.599999999999994</v>
      </c>
      <c r="P149" s="166">
        <f>SUM(D149:O149)</f>
        <v>1704.7000000000003</v>
      </c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2:26" ht="15.75" x14ac:dyDescent="0.25">
      <c r="B150" s="34" t="s">
        <v>8</v>
      </c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121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2:26" ht="15.75" x14ac:dyDescent="0.25">
      <c r="B151" s="34" t="s">
        <v>48</v>
      </c>
      <c r="C151" s="35" t="s">
        <v>10</v>
      </c>
      <c r="D151" s="7"/>
      <c r="E151" s="7"/>
      <c r="F151" s="7"/>
      <c r="G151" s="7"/>
      <c r="H151" s="7">
        <v>1055</v>
      </c>
      <c r="I151" s="7">
        <v>1033</v>
      </c>
      <c r="J151" s="7">
        <v>1078</v>
      </c>
      <c r="K151" s="7">
        <v>1078</v>
      </c>
      <c r="L151" s="7">
        <v>1078</v>
      </c>
      <c r="M151" s="7">
        <v>1074</v>
      </c>
      <c r="N151" s="7">
        <v>1078</v>
      </c>
      <c r="O151" s="7">
        <v>1091</v>
      </c>
      <c r="P151" s="8">
        <f>ROUND((D151*$D$149+E151*$E$149+F151*$F$149+G151*$G$149+H151*$H$149+I151*$I$149+J151*$J$149+K151*$K$149+L151*$L$149+M151*$M$149+N151*$N$149+O151*$O$149)/$P$149,0)</f>
        <v>1068</v>
      </c>
      <c r="Q151" s="25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2:26" ht="15.75" x14ac:dyDescent="0.25">
      <c r="B152" s="34" t="s">
        <v>49</v>
      </c>
      <c r="C152" s="35" t="s">
        <v>10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8">
        <f t="shared" ref="P152:P158" si="31">ROUND((D152*$D$149+E152*$E$149+F152*$F$149+G152*$G$149+H152*$H$149+I152*$I$149+J152*$J$149+K152*$K$149+L152*$L$149+M152*$M$149+N152*$N$149+O152*$O$149)/$P$149,0)</f>
        <v>0</v>
      </c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2:26" ht="15.75" x14ac:dyDescent="0.25">
      <c r="B153" s="34" t="s">
        <v>51</v>
      </c>
      <c r="C153" s="35" t="s">
        <v>10</v>
      </c>
      <c r="D153" s="229"/>
      <c r="E153" s="229"/>
      <c r="F153" s="229"/>
      <c r="G153" s="229"/>
      <c r="H153" s="229">
        <v>8</v>
      </c>
      <c r="I153" s="229">
        <v>9</v>
      </c>
      <c r="J153" s="229">
        <v>8</v>
      </c>
      <c r="K153" s="229">
        <v>8</v>
      </c>
      <c r="L153" s="229">
        <v>8</v>
      </c>
      <c r="M153" s="229">
        <v>8</v>
      </c>
      <c r="N153" s="229">
        <v>8</v>
      </c>
      <c r="O153" s="229">
        <v>8</v>
      </c>
      <c r="P153" s="8">
        <f t="shared" si="31"/>
        <v>8</v>
      </c>
      <c r="Q153" s="25"/>
    </row>
    <row r="154" spans="2:26" ht="15.75" x14ac:dyDescent="0.25">
      <c r="B154" s="34" t="s">
        <v>109</v>
      </c>
      <c r="C154" s="35" t="s">
        <v>10</v>
      </c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138">
        <f>ROUND((D154*$D$149+E154*$E$149+F154*$F$149+G154*$G$149+H154*$H$149+I154*$I$149+J154*$J$149+K154*$K$149+L154*$L$149+M154*$M$149+N154*$N$149+O154*$O$149)/$P$149,1)</f>
        <v>0</v>
      </c>
      <c r="Q154" s="25"/>
    </row>
    <row r="155" spans="2:26" ht="15.75" x14ac:dyDescent="0.25">
      <c r="B155" s="34" t="s">
        <v>52</v>
      </c>
      <c r="C155" s="35" t="s">
        <v>10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8">
        <f t="shared" si="31"/>
        <v>0</v>
      </c>
      <c r="Q155" s="25"/>
    </row>
    <row r="156" spans="2:26" ht="15.75" x14ac:dyDescent="0.25">
      <c r="B156" s="34" t="s">
        <v>53</v>
      </c>
      <c r="C156" s="35" t="s">
        <v>10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8">
        <f t="shared" si="31"/>
        <v>0</v>
      </c>
      <c r="Q156" s="25"/>
    </row>
    <row r="157" spans="2:26" ht="15.75" x14ac:dyDescent="0.25">
      <c r="B157" s="34" t="s">
        <v>54</v>
      </c>
      <c r="C157" s="35" t="s">
        <v>10</v>
      </c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8">
        <f t="shared" si="31"/>
        <v>0</v>
      </c>
      <c r="Q157" s="25"/>
    </row>
    <row r="158" spans="2:26" ht="15.75" x14ac:dyDescent="0.25">
      <c r="B158" s="34" t="s">
        <v>55</v>
      </c>
      <c r="C158" s="35" t="s">
        <v>10</v>
      </c>
      <c r="D158" s="205"/>
      <c r="E158" s="205"/>
      <c r="F158" s="205"/>
      <c r="G158" s="205"/>
      <c r="H158" s="205">
        <v>547</v>
      </c>
      <c r="I158" s="205">
        <v>557</v>
      </c>
      <c r="J158" s="205">
        <v>481</v>
      </c>
      <c r="K158" s="205">
        <v>485</v>
      </c>
      <c r="L158" s="205">
        <v>480</v>
      </c>
      <c r="M158" s="205">
        <v>476</v>
      </c>
      <c r="N158" s="205">
        <v>480</v>
      </c>
      <c r="O158" s="205">
        <v>484</v>
      </c>
      <c r="P158" s="8">
        <f t="shared" si="31"/>
        <v>500</v>
      </c>
      <c r="Q158" s="25"/>
    </row>
    <row r="159" spans="2:26" ht="15.75" x14ac:dyDescent="0.25">
      <c r="B159" s="34" t="s">
        <v>57</v>
      </c>
      <c r="C159" s="35" t="s">
        <v>10</v>
      </c>
      <c r="D159" s="205"/>
      <c r="E159" s="205"/>
      <c r="F159" s="205"/>
      <c r="G159" s="205"/>
      <c r="H159" s="205">
        <v>57</v>
      </c>
      <c r="I159" s="205">
        <v>58</v>
      </c>
      <c r="J159" s="205">
        <v>56</v>
      </c>
      <c r="K159" s="205">
        <v>56</v>
      </c>
      <c r="L159" s="205">
        <v>59</v>
      </c>
      <c r="M159" s="205">
        <v>69</v>
      </c>
      <c r="N159" s="205">
        <v>59</v>
      </c>
      <c r="O159" s="205">
        <v>35</v>
      </c>
      <c r="P159" s="8">
        <f>ROUND((D159*$D$149+E159*$E$149+F159*$F$149+G159*$G$149+H159*$H$149+I159*$I$149+J159*$J$149+K159*$K$149+L159*$L$149+M159*$M$149+N159*$N$149+O159*$O$149)/$P$149,0)</f>
        <v>58</v>
      </c>
      <c r="Q159" s="25"/>
    </row>
    <row r="160" spans="2:26" ht="15.75" x14ac:dyDescent="0.25">
      <c r="B160" s="39" t="s">
        <v>58</v>
      </c>
      <c r="C160" s="40" t="s">
        <v>10</v>
      </c>
      <c r="D160" s="222"/>
      <c r="E160" s="222"/>
      <c r="F160" s="222"/>
      <c r="G160" s="222"/>
      <c r="H160" s="222">
        <f t="shared" ref="H160:J160" si="32">SUM(H151:H159)</f>
        <v>1667</v>
      </c>
      <c r="I160" s="222">
        <f t="shared" si="32"/>
        <v>1657</v>
      </c>
      <c r="J160" s="222">
        <f t="shared" si="32"/>
        <v>1623</v>
      </c>
      <c r="K160" s="222">
        <f t="shared" ref="K160:O160" si="33">SUM(K151:K159)</f>
        <v>1627</v>
      </c>
      <c r="L160" s="222">
        <f t="shared" si="33"/>
        <v>1625</v>
      </c>
      <c r="M160" s="222">
        <f t="shared" si="33"/>
        <v>1627</v>
      </c>
      <c r="N160" s="222">
        <f t="shared" si="33"/>
        <v>1625</v>
      </c>
      <c r="O160" s="222">
        <f t="shared" si="33"/>
        <v>1618</v>
      </c>
      <c r="P160" s="9">
        <f>SUM(P151:P159)</f>
        <v>1634</v>
      </c>
      <c r="Q160" s="60"/>
    </row>
    <row r="161" spans="2:19" ht="15.75" x14ac:dyDescent="0.25">
      <c r="B161" s="34" t="s">
        <v>59</v>
      </c>
      <c r="C161" s="35" t="s">
        <v>10</v>
      </c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1">
        <f t="shared" ref="P161:P166" si="34">ROUND((D161*$D$149+E161*$E$149+F161*$F$149+G161*$G$149+H161*$H$149+I161*$I$149+J161*$J$149+K161*$K$149+L161*$L$149+M161*$M$149+N161*$N$149+O161*$O$149)/$P$149,1)</f>
        <v>0</v>
      </c>
      <c r="Q161" s="25"/>
    </row>
    <row r="162" spans="2:19" ht="15.75" x14ac:dyDescent="0.25">
      <c r="B162" s="34" t="s">
        <v>60</v>
      </c>
      <c r="C162" s="35" t="s">
        <v>10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121">
        <f t="shared" si="34"/>
        <v>0</v>
      </c>
      <c r="Q162" s="25"/>
    </row>
    <row r="163" spans="2:19" ht="15.75" x14ac:dyDescent="0.25">
      <c r="B163" s="34" t="s">
        <v>105</v>
      </c>
      <c r="C163" s="35" t="s">
        <v>10</v>
      </c>
      <c r="D163" s="7"/>
      <c r="E163" s="7"/>
      <c r="F163" s="7"/>
      <c r="G163" s="7"/>
      <c r="H163" s="7">
        <v>92</v>
      </c>
      <c r="I163" s="7">
        <v>90</v>
      </c>
      <c r="J163" s="7">
        <v>94</v>
      </c>
      <c r="K163" s="7">
        <v>94</v>
      </c>
      <c r="L163" s="7">
        <v>94</v>
      </c>
      <c r="M163" s="7">
        <v>93</v>
      </c>
      <c r="N163" s="7">
        <v>94</v>
      </c>
      <c r="O163" s="7">
        <v>95</v>
      </c>
      <c r="P163" s="8">
        <f t="shared" si="34"/>
        <v>93.1</v>
      </c>
      <c r="Q163" s="25"/>
    </row>
    <row r="164" spans="2:19" ht="15.75" x14ac:dyDescent="0.25">
      <c r="B164" s="34" t="s">
        <v>71</v>
      </c>
      <c r="C164" s="35" t="s">
        <v>10</v>
      </c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122">
        <f t="shared" si="34"/>
        <v>0</v>
      </c>
      <c r="Q164" s="25"/>
    </row>
    <row r="165" spans="2:19" ht="15.75" x14ac:dyDescent="0.25">
      <c r="B165" s="97" t="s">
        <v>75</v>
      </c>
      <c r="C165" s="35" t="s">
        <v>10</v>
      </c>
      <c r="D165" s="234"/>
      <c r="E165" s="234"/>
      <c r="F165" s="234"/>
      <c r="G165" s="234"/>
      <c r="H165" s="234">
        <v>2.7</v>
      </c>
      <c r="I165" s="234">
        <v>2.6</v>
      </c>
      <c r="J165" s="234">
        <v>2.8</v>
      </c>
      <c r="K165" s="234">
        <v>2.8</v>
      </c>
      <c r="L165" s="234">
        <v>2.7</v>
      </c>
      <c r="M165" s="234">
        <v>2.8</v>
      </c>
      <c r="N165" s="234">
        <v>2.7</v>
      </c>
      <c r="O165" s="234">
        <v>0.55000000000000004</v>
      </c>
      <c r="P165" s="128">
        <f t="shared" si="34"/>
        <v>2.7</v>
      </c>
      <c r="Q165" s="25"/>
    </row>
    <row r="166" spans="2:19" ht="16.5" thickBot="1" x14ac:dyDescent="0.3">
      <c r="B166" s="89" t="s">
        <v>103</v>
      </c>
      <c r="C166" s="110" t="s">
        <v>10</v>
      </c>
      <c r="D166" s="129"/>
      <c r="E166" s="129"/>
      <c r="F166" s="129"/>
      <c r="G166" s="129"/>
      <c r="H166" s="129">
        <v>362</v>
      </c>
      <c r="I166" s="129">
        <v>351</v>
      </c>
      <c r="J166" s="129">
        <v>316</v>
      </c>
      <c r="K166" s="129">
        <v>319</v>
      </c>
      <c r="L166" s="129">
        <v>317</v>
      </c>
      <c r="M166" s="129">
        <v>318</v>
      </c>
      <c r="N166" s="129">
        <v>318</v>
      </c>
      <c r="O166" s="129">
        <v>311</v>
      </c>
      <c r="P166" s="123">
        <f t="shared" si="34"/>
        <v>328.2</v>
      </c>
      <c r="Q166" s="25"/>
    </row>
    <row r="167" spans="2:19" ht="15.75" x14ac:dyDescent="0.25">
      <c r="B167" s="111"/>
      <c r="C167" s="87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124"/>
      <c r="Q167" s="25"/>
    </row>
    <row r="168" spans="2:19" ht="16.5" thickBot="1" x14ac:dyDescent="0.3">
      <c r="B168" s="112" t="s">
        <v>77</v>
      </c>
      <c r="C168" s="105" t="s">
        <v>32</v>
      </c>
      <c r="D168" s="119"/>
      <c r="E168" s="119"/>
      <c r="F168" s="119"/>
      <c r="G168" s="119"/>
      <c r="H168" s="119">
        <v>57.58</v>
      </c>
      <c r="I168" s="119">
        <v>57.94</v>
      </c>
      <c r="J168" s="119">
        <v>59.12</v>
      </c>
      <c r="K168" s="119">
        <v>59.03</v>
      </c>
      <c r="L168" s="119">
        <v>59.09</v>
      </c>
      <c r="M168" s="119">
        <v>59.04</v>
      </c>
      <c r="N168" s="119">
        <v>59.06</v>
      </c>
      <c r="O168" s="119">
        <v>59.3</v>
      </c>
      <c r="P168" s="118">
        <f>ROUND((D168*$D$149+E168*$E$149+F168*$F$149+G168*$G$149+H168*$H$149+I168*$I$149+J168*$J$149+K168*$K$149+L168*$L$149+M168*$M$149+N168*$N$149+O168*$O$149)/$P$149,2)</f>
        <v>58.71</v>
      </c>
      <c r="Q168" s="60"/>
    </row>
    <row r="169" spans="2:19" ht="15.75" x14ac:dyDescent="0.25">
      <c r="B169" s="101" t="s">
        <v>78</v>
      </c>
      <c r="C169" s="102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26"/>
      <c r="Q169" s="60"/>
    </row>
    <row r="170" spans="2:19" ht="16.5" thickBot="1" x14ac:dyDescent="0.3">
      <c r="B170" s="73" t="s">
        <v>104</v>
      </c>
      <c r="C170" s="105" t="s">
        <v>32</v>
      </c>
      <c r="D170" s="117"/>
      <c r="E170" s="117"/>
      <c r="F170" s="117"/>
      <c r="G170" s="117"/>
      <c r="H170" s="117">
        <f t="shared" ref="H170:O170" si="35">H168</f>
        <v>57.58</v>
      </c>
      <c r="I170" s="117">
        <f t="shared" si="35"/>
        <v>57.94</v>
      </c>
      <c r="J170" s="117">
        <f t="shared" si="35"/>
        <v>59.12</v>
      </c>
      <c r="K170" s="117">
        <f t="shared" si="35"/>
        <v>59.03</v>
      </c>
      <c r="L170" s="117">
        <f t="shared" si="35"/>
        <v>59.09</v>
      </c>
      <c r="M170" s="117">
        <f t="shared" si="35"/>
        <v>59.04</v>
      </c>
      <c r="N170" s="117">
        <f t="shared" si="35"/>
        <v>59.06</v>
      </c>
      <c r="O170" s="117">
        <f t="shared" si="35"/>
        <v>59.3</v>
      </c>
      <c r="P170" s="118">
        <f>ROUND((D170*$D$149+E170*$E$149+F170*$F$149+G170*$G$149+H170*$H$149+I170*$I$149+J170*$J$149+K170*$K$149+L170*$L$149+M170*$M$149+N170*$N$149+O170*$O$149)/$P$149,2)</f>
        <v>58.71</v>
      </c>
      <c r="Q170" s="60"/>
      <c r="R170" s="60"/>
      <c r="S170" s="60"/>
    </row>
    <row r="171" spans="2:19" x14ac:dyDescent="0.25">
      <c r="B171" s="159"/>
      <c r="C171" s="159"/>
      <c r="D171" s="159"/>
      <c r="E171" s="159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59"/>
      <c r="Q171" s="159"/>
      <c r="R171" s="159"/>
      <c r="S171" s="22" t="s">
        <v>97</v>
      </c>
    </row>
    <row r="172" spans="2:19" ht="15.75" x14ac:dyDescent="0.25">
      <c r="B172" s="159"/>
      <c r="C172" s="159"/>
      <c r="D172" s="113"/>
      <c r="E172" s="113"/>
      <c r="F172" s="113"/>
      <c r="G172" s="113"/>
      <c r="H172" s="113"/>
      <c r="I172" s="113"/>
      <c r="J172" s="115"/>
      <c r="K172" s="115"/>
      <c r="L172" s="115"/>
      <c r="M172" s="115"/>
      <c r="N172" s="115"/>
      <c r="O172" s="115"/>
      <c r="P172" s="159"/>
      <c r="Q172" s="159"/>
      <c r="R172" s="159"/>
      <c r="S172" s="159"/>
    </row>
    <row r="173" spans="2:19" ht="15.75" x14ac:dyDescent="0.25">
      <c r="B173" s="159"/>
      <c r="C173" s="159"/>
      <c r="D173" s="44"/>
      <c r="E173" s="44"/>
      <c r="F173" s="44"/>
      <c r="G173" s="44"/>
      <c r="H173" s="44"/>
      <c r="I173" s="44"/>
      <c r="J173" s="115" t="s">
        <v>97</v>
      </c>
      <c r="K173" s="115"/>
      <c r="L173" s="115"/>
      <c r="M173" s="115"/>
      <c r="N173" s="115"/>
      <c r="O173" s="115"/>
      <c r="P173" s="159"/>
      <c r="Q173" s="159"/>
      <c r="R173" s="159"/>
      <c r="S173" s="159"/>
    </row>
    <row r="176" spans="2:19" x14ac:dyDescent="0.25"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16"/>
      <c r="O176" s="116"/>
      <c r="P176" s="159"/>
      <c r="Q176" s="159"/>
      <c r="R176" s="159"/>
      <c r="S176" s="159"/>
    </row>
    <row r="184" spans="2:19" x14ac:dyDescent="0.25"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22" t="s">
        <v>97</v>
      </c>
      <c r="R184" s="159"/>
      <c r="S184" s="159"/>
    </row>
    <row r="190" spans="2:19" x14ac:dyDescent="0.25">
      <c r="C190" s="42" t="s">
        <v>97</v>
      </c>
    </row>
  </sheetData>
  <mergeCells count="2">
    <mergeCell ref="B68:P68"/>
    <mergeCell ref="B69:P69"/>
  </mergeCells>
  <pageMargins left="0.51181102362204722" right="0.19685039370078741" top="0.35433070866141736" bottom="0.35433070866141736" header="0.31496062992125984" footer="0.31496062992125984"/>
  <pageSetup paperSize="9" scale="32" orientation="portrait" r:id="rId1"/>
  <rowBreaks count="1" manualBreakCount="1">
    <brk id="69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opLeftCell="B1" zoomScale="80" zoomScaleNormal="80" workbookViewId="0">
      <selection activeCell="AL44" sqref="AL44"/>
    </sheetView>
  </sheetViews>
  <sheetFormatPr defaultRowHeight="15" outlineLevelRow="1" outlineLevelCol="1" x14ac:dyDescent="0.25"/>
  <cols>
    <col min="1" max="1" width="0" hidden="1" customWidth="1" outlineLevel="1"/>
    <col min="2" max="2" width="9.140625" collapsed="1"/>
    <col min="3" max="3" width="14.42578125" customWidth="1"/>
    <col min="7" max="9" width="9.140625" hidden="1" customWidth="1"/>
    <col min="19" max="37" width="9.140625" hidden="1" customWidth="1" outlineLevel="1"/>
    <col min="38" max="38" width="9.140625" collapsed="1"/>
  </cols>
  <sheetData>
    <row r="1" spans="1:37" x14ac:dyDescent="0.25">
      <c r="A1" s="256">
        <v>1000</v>
      </c>
      <c r="B1" s="257"/>
      <c r="C1" s="256" t="s">
        <v>1</v>
      </c>
      <c r="D1" s="257"/>
      <c r="E1" s="257"/>
      <c r="F1" s="257"/>
      <c r="G1" s="257"/>
      <c r="H1" s="257"/>
      <c r="I1" s="257"/>
      <c r="J1" s="257"/>
      <c r="K1" s="258"/>
      <c r="L1" s="258"/>
      <c r="M1" s="257"/>
      <c r="N1" s="257"/>
      <c r="O1" s="257"/>
      <c r="P1" s="257"/>
      <c r="Q1" s="315" t="s">
        <v>163</v>
      </c>
      <c r="R1" s="315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9"/>
    </row>
    <row r="2" spans="1:37" x14ac:dyDescent="0.25">
      <c r="A2" s="257"/>
      <c r="B2" s="257"/>
      <c r="C2" s="256" t="s">
        <v>164</v>
      </c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</row>
    <row r="3" spans="1:37" x14ac:dyDescent="0.25">
      <c r="A3" s="257"/>
      <c r="B3" s="257"/>
      <c r="C3" s="256" t="s">
        <v>220</v>
      </c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</row>
    <row r="4" spans="1:37" hidden="1" outlineLevel="1" x14ac:dyDescent="0.25">
      <c r="A4" s="257"/>
      <c r="B4" s="257"/>
      <c r="C4" s="256" t="s">
        <v>165</v>
      </c>
      <c r="D4" s="260"/>
      <c r="E4" s="259" t="s">
        <v>166</v>
      </c>
      <c r="F4" s="256" t="s">
        <v>167</v>
      </c>
      <c r="G4" s="259">
        <v>1</v>
      </c>
      <c r="H4" s="259">
        <v>2</v>
      </c>
      <c r="I4" s="259">
        <v>3</v>
      </c>
      <c r="J4" s="259">
        <v>4</v>
      </c>
      <c r="K4" s="259">
        <v>5</v>
      </c>
      <c r="L4" s="259">
        <v>6</v>
      </c>
      <c r="M4" s="259">
        <v>7</v>
      </c>
      <c r="N4" s="259">
        <v>8</v>
      </c>
      <c r="O4" s="259">
        <v>9</v>
      </c>
      <c r="P4" s="259">
        <v>10</v>
      </c>
      <c r="Q4" s="259">
        <v>11</v>
      </c>
      <c r="R4" s="259">
        <v>12</v>
      </c>
      <c r="S4" s="259">
        <v>13</v>
      </c>
      <c r="T4" s="259">
        <v>14</v>
      </c>
      <c r="U4" s="259">
        <v>15</v>
      </c>
      <c r="V4" s="259">
        <v>16</v>
      </c>
      <c r="W4" s="259">
        <v>17</v>
      </c>
      <c r="X4" s="259">
        <v>18</v>
      </c>
      <c r="Y4" s="259">
        <v>19</v>
      </c>
      <c r="Z4" s="259">
        <v>20</v>
      </c>
      <c r="AA4" s="259">
        <v>21</v>
      </c>
      <c r="AB4" s="259">
        <v>22</v>
      </c>
      <c r="AC4" s="259">
        <v>23</v>
      </c>
      <c r="AD4" s="259">
        <v>24</v>
      </c>
      <c r="AE4" s="259">
        <v>25</v>
      </c>
      <c r="AF4" s="259">
        <v>26</v>
      </c>
      <c r="AG4" s="259">
        <v>27</v>
      </c>
      <c r="AH4" s="259">
        <v>28</v>
      </c>
      <c r="AI4" s="259">
        <v>29</v>
      </c>
      <c r="AJ4" s="259">
        <v>30</v>
      </c>
      <c r="AK4" s="259"/>
    </row>
    <row r="5" spans="1:37" hidden="1" outlineLevel="1" x14ac:dyDescent="0.25">
      <c r="A5" s="256" t="s">
        <v>168</v>
      </c>
      <c r="B5" s="260" t="s">
        <v>169</v>
      </c>
      <c r="C5" s="256" t="s">
        <v>170</v>
      </c>
      <c r="D5" s="257"/>
      <c r="E5" s="259" t="s">
        <v>7</v>
      </c>
      <c r="F5" s="261">
        <v>0</v>
      </c>
      <c r="G5" s="262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4"/>
    </row>
    <row r="6" spans="1:37" hidden="1" outlineLevel="1" x14ac:dyDescent="0.25">
      <c r="A6" s="256" t="s">
        <v>171</v>
      </c>
      <c r="B6" s="257"/>
      <c r="C6" s="256" t="s">
        <v>172</v>
      </c>
      <c r="D6" s="257"/>
      <c r="E6" s="259" t="s">
        <v>10</v>
      </c>
      <c r="F6" s="265" t="e">
        <v>#DIV/0!</v>
      </c>
      <c r="G6" s="266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4"/>
    </row>
    <row r="7" spans="1:37" hidden="1" outlineLevel="1" x14ac:dyDescent="0.25">
      <c r="A7" s="256" t="s">
        <v>173</v>
      </c>
      <c r="B7" s="257"/>
      <c r="C7" s="256" t="s">
        <v>174</v>
      </c>
      <c r="D7" s="257"/>
      <c r="E7" s="259" t="s">
        <v>10</v>
      </c>
      <c r="F7" s="268" t="e">
        <v>#DIV/0!</v>
      </c>
      <c r="G7" s="269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64"/>
    </row>
    <row r="8" spans="1:37" hidden="1" outlineLevel="1" x14ac:dyDescent="0.25">
      <c r="A8" s="256" t="s">
        <v>175</v>
      </c>
      <c r="B8" s="257"/>
      <c r="C8" s="256" t="s">
        <v>176</v>
      </c>
      <c r="D8" s="257"/>
      <c r="E8" s="259" t="s">
        <v>177</v>
      </c>
      <c r="F8" s="268" t="e">
        <v>#DIV/0!</v>
      </c>
      <c r="G8" s="269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64"/>
    </row>
    <row r="9" spans="1:37" hidden="1" outlineLevel="1" x14ac:dyDescent="0.25">
      <c r="A9" s="256" t="s">
        <v>178</v>
      </c>
      <c r="B9" s="257"/>
      <c r="C9" s="256" t="s">
        <v>179</v>
      </c>
      <c r="D9" s="257"/>
      <c r="E9" s="259" t="s">
        <v>177</v>
      </c>
      <c r="F9" s="271" t="e">
        <v>#DIV/0!</v>
      </c>
      <c r="G9" s="272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64"/>
    </row>
    <row r="10" spans="1:37" hidden="1" outlineLevel="1" x14ac:dyDescent="0.25">
      <c r="A10" s="257"/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</row>
    <row r="11" spans="1:37" collapsed="1" x14ac:dyDescent="0.25">
      <c r="A11" s="257"/>
      <c r="B11" s="257"/>
      <c r="C11" s="274"/>
      <c r="D11" s="257"/>
      <c r="E11" s="257"/>
      <c r="F11" s="275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</row>
    <row r="12" spans="1:37" x14ac:dyDescent="0.25">
      <c r="A12" s="257"/>
      <c r="B12" s="257"/>
      <c r="C12" s="256" t="s">
        <v>165</v>
      </c>
      <c r="D12" s="260"/>
      <c r="E12" s="259" t="s">
        <v>166</v>
      </c>
      <c r="F12" s="256" t="s">
        <v>167</v>
      </c>
      <c r="G12" s="259"/>
      <c r="H12" s="259"/>
      <c r="I12" s="259"/>
      <c r="J12" s="259">
        <v>4</v>
      </c>
      <c r="K12" s="259">
        <v>5</v>
      </c>
      <c r="L12" s="259">
        <v>6</v>
      </c>
      <c r="M12" s="276">
        <v>7</v>
      </c>
      <c r="N12" s="276">
        <v>8</v>
      </c>
      <c r="O12" s="276">
        <v>9</v>
      </c>
      <c r="P12" s="276">
        <v>10</v>
      </c>
      <c r="Q12" s="276">
        <v>11</v>
      </c>
      <c r="R12" s="276">
        <v>12</v>
      </c>
      <c r="S12" s="276">
        <v>13</v>
      </c>
      <c r="T12" s="276">
        <v>14</v>
      </c>
      <c r="U12" s="276">
        <v>15</v>
      </c>
      <c r="V12" s="276">
        <v>16</v>
      </c>
      <c r="W12" s="276">
        <v>17</v>
      </c>
      <c r="X12" s="276">
        <v>18</v>
      </c>
      <c r="Y12" s="276">
        <v>19</v>
      </c>
      <c r="Z12" s="276">
        <v>20</v>
      </c>
      <c r="AA12" s="276">
        <v>21</v>
      </c>
      <c r="AB12" s="276">
        <v>22</v>
      </c>
      <c r="AC12" s="276">
        <v>23</v>
      </c>
      <c r="AD12" s="276">
        <v>24</v>
      </c>
      <c r="AE12" s="276">
        <v>25</v>
      </c>
      <c r="AF12" s="276">
        <v>26</v>
      </c>
      <c r="AG12" s="276">
        <v>27</v>
      </c>
      <c r="AH12" s="276">
        <v>28</v>
      </c>
      <c r="AI12" s="276">
        <v>29</v>
      </c>
      <c r="AJ12" s="276">
        <v>30</v>
      </c>
      <c r="AK12" s="276">
        <v>31</v>
      </c>
    </row>
    <row r="13" spans="1:37" x14ac:dyDescent="0.25">
      <c r="A13" s="256" t="s">
        <v>180</v>
      </c>
      <c r="B13" s="260" t="s">
        <v>181</v>
      </c>
      <c r="C13" s="256" t="s">
        <v>170</v>
      </c>
      <c r="D13" s="257"/>
      <c r="E13" s="259" t="s">
        <v>7</v>
      </c>
      <c r="F13" s="261">
        <f>SUM(G13:AK13)</f>
        <v>1156.2</v>
      </c>
      <c r="G13" s="277"/>
      <c r="H13" s="277"/>
      <c r="I13" s="277"/>
      <c r="J13" s="277">
        <f>'прилож_ДЦ-1'!G22</f>
        <v>0</v>
      </c>
      <c r="K13" s="277">
        <f>'прилож_ДЦ-1'!H22</f>
        <v>147.70000000000007</v>
      </c>
      <c r="L13" s="277">
        <f>'прилож_ДЦ-1'!I22</f>
        <v>115.00000000000003</v>
      </c>
      <c r="M13" s="277">
        <f>'прилож_ДЦ-1'!J22</f>
        <v>150.6</v>
      </c>
      <c r="N13" s="277">
        <f>'прилож_ДЦ-1'!K22</f>
        <v>150.4</v>
      </c>
      <c r="O13" s="277">
        <f>'прилож_ДЦ-1'!L22</f>
        <v>145.4</v>
      </c>
      <c r="P13" s="277">
        <f>'прилож_ДЦ-1'!M22</f>
        <v>150.6</v>
      </c>
      <c r="Q13" s="277">
        <f>'прилож_ДЦ-1'!N22</f>
        <v>145.80000000000001</v>
      </c>
      <c r="R13" s="277">
        <f>'прилож_ДЦ-1'!O22</f>
        <v>150.69999999999999</v>
      </c>
      <c r="S13" s="277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8"/>
    </row>
    <row r="14" spans="1:37" x14ac:dyDescent="0.25">
      <c r="A14" s="256" t="s">
        <v>182</v>
      </c>
      <c r="B14" s="257"/>
      <c r="C14" s="256" t="s">
        <v>172</v>
      </c>
      <c r="D14" s="257"/>
      <c r="E14" s="259" t="s">
        <v>10</v>
      </c>
      <c r="F14" s="265">
        <f>SUMPRODUCT(G13:AK13,G14:AK14)/F13</f>
        <v>390.62203770973883</v>
      </c>
      <c r="G14" s="280"/>
      <c r="H14" s="281"/>
      <c r="I14" s="281"/>
      <c r="J14" s="281">
        <f>'прилож_ДЦ-1'!G24</f>
        <v>0</v>
      </c>
      <c r="K14" s="281">
        <f>'прилож_ДЦ-1'!H24</f>
        <v>389</v>
      </c>
      <c r="L14" s="281">
        <f>'прилож_ДЦ-1'!I24</f>
        <v>404</v>
      </c>
      <c r="M14" s="282">
        <f>'прилож_ДЦ-1'!J24</f>
        <v>389</v>
      </c>
      <c r="N14" s="281">
        <f>'прилож_ДЦ-1'!K24</f>
        <v>390</v>
      </c>
      <c r="O14" s="281">
        <f>'прилож_ДЦ-1'!L24</f>
        <v>389</v>
      </c>
      <c r="P14" s="281">
        <f>'прилож_ДЦ-1'!M24</f>
        <v>389</v>
      </c>
      <c r="Q14" s="281">
        <f>'прилож_ДЦ-1'!N24</f>
        <v>389</v>
      </c>
      <c r="R14" s="283">
        <f>'прилож_ДЦ-1'!O24</f>
        <v>389</v>
      </c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4"/>
    </row>
    <row r="15" spans="1:37" hidden="1" outlineLevel="1" x14ac:dyDescent="0.25">
      <c r="A15" s="256" t="s">
        <v>183</v>
      </c>
      <c r="B15" s="257"/>
      <c r="C15" s="256" t="s">
        <v>174</v>
      </c>
      <c r="D15" s="257"/>
      <c r="E15" s="259" t="s">
        <v>10</v>
      </c>
      <c r="F15" s="268">
        <f>SUMPRODUCT(G13:AK13,G15:AK15)/F13</f>
        <v>3</v>
      </c>
      <c r="G15" s="285"/>
      <c r="H15" s="286"/>
      <c r="I15" s="286"/>
      <c r="J15" s="286">
        <v>3</v>
      </c>
      <c r="K15" s="286">
        <v>3</v>
      </c>
      <c r="L15" s="286">
        <v>3</v>
      </c>
      <c r="M15" s="286">
        <v>3</v>
      </c>
      <c r="N15" s="286">
        <v>3</v>
      </c>
      <c r="O15" s="286">
        <v>3</v>
      </c>
      <c r="P15" s="286">
        <v>3</v>
      </c>
      <c r="Q15" s="286">
        <v>3</v>
      </c>
      <c r="R15" s="287">
        <v>3</v>
      </c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9"/>
    </row>
    <row r="16" spans="1:37" collapsed="1" x14ac:dyDescent="0.25">
      <c r="A16" s="256" t="s">
        <v>184</v>
      </c>
      <c r="B16" s="257"/>
      <c r="C16" s="256" t="s">
        <v>176</v>
      </c>
      <c r="D16" s="257"/>
      <c r="E16" s="259" t="s">
        <v>177</v>
      </c>
      <c r="F16" s="268">
        <f>SUMPRODUCT(G13:AK13,G16:AK16)/F13</f>
        <v>102.70160871821484</v>
      </c>
      <c r="G16" s="285"/>
      <c r="H16" s="286"/>
      <c r="I16" s="286"/>
      <c r="J16" s="286">
        <f>'прилож_ДЦ-1'!G28</f>
        <v>0</v>
      </c>
      <c r="K16" s="286">
        <f>'прилож_ДЦ-1'!H28</f>
        <v>103</v>
      </c>
      <c r="L16" s="286">
        <f>'прилож_ДЦ-1'!I28</f>
        <v>100</v>
      </c>
      <c r="M16" s="288">
        <f>'прилож_ДЦ-1'!J28</f>
        <v>103</v>
      </c>
      <c r="N16" s="286">
        <f>'прилож_ДЦ-1'!K28</f>
        <v>103</v>
      </c>
      <c r="O16" s="286">
        <f>'прилож_ДЦ-1'!L28</f>
        <v>103</v>
      </c>
      <c r="P16" s="286">
        <f>'прилож_ДЦ-1'!M28</f>
        <v>103</v>
      </c>
      <c r="Q16" s="286">
        <f>'прилож_ДЦ-1'!N28</f>
        <v>103</v>
      </c>
      <c r="R16" s="287">
        <f>'прилож_ДЦ-1'!O28</f>
        <v>103</v>
      </c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9"/>
    </row>
    <row r="17" spans="1:37" x14ac:dyDescent="0.25">
      <c r="A17" s="256" t="s">
        <v>185</v>
      </c>
      <c r="B17" s="257"/>
      <c r="C17" s="256" t="s">
        <v>179</v>
      </c>
      <c r="D17" s="257"/>
      <c r="E17" s="259" t="s">
        <v>177</v>
      </c>
      <c r="F17" s="271">
        <f>SUMPRODUCT(G13:AK13,G17:AK17)/F13</f>
        <v>108.1989275211901</v>
      </c>
      <c r="G17" s="290"/>
      <c r="H17" s="291"/>
      <c r="I17" s="291"/>
      <c r="J17" s="291">
        <f>'прилож_ДЦ-1'!G29</f>
        <v>0</v>
      </c>
      <c r="K17" s="291">
        <f>'прилож_ДЦ-1'!H29</f>
        <v>108</v>
      </c>
      <c r="L17" s="291">
        <f>'прилож_ДЦ-1'!I29</f>
        <v>110</v>
      </c>
      <c r="M17" s="292">
        <f>'прилож_ДЦ-1'!J29</f>
        <v>108</v>
      </c>
      <c r="N17" s="291">
        <f>'прилож_ДЦ-1'!K29</f>
        <v>108</v>
      </c>
      <c r="O17" s="291">
        <f>'прилож_ДЦ-1'!L29</f>
        <v>108</v>
      </c>
      <c r="P17" s="291">
        <f>'прилож_ДЦ-1'!M29</f>
        <v>108</v>
      </c>
      <c r="Q17" s="291">
        <f>'прилож_ДЦ-1'!N29</f>
        <v>108</v>
      </c>
      <c r="R17" s="293">
        <f>'прилож_ДЦ-1'!O29</f>
        <v>108</v>
      </c>
      <c r="S17" s="292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3"/>
    </row>
    <row r="18" spans="1:37" x14ac:dyDescent="0.25">
      <c r="A18" s="257"/>
      <c r="B18" s="257"/>
      <c r="C18" s="257"/>
      <c r="D18" s="257"/>
      <c r="E18" s="257"/>
      <c r="F18" s="294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</row>
    <row r="19" spans="1:37" x14ac:dyDescent="0.25">
      <c r="A19" s="257"/>
      <c r="B19" s="257"/>
      <c r="C19" s="257"/>
      <c r="D19" s="257"/>
      <c r="E19" s="257"/>
      <c r="F19" s="275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</row>
    <row r="20" spans="1:37" x14ac:dyDescent="0.25">
      <c r="A20" s="259"/>
      <c r="B20" s="275"/>
      <c r="C20" s="256" t="s">
        <v>165</v>
      </c>
      <c r="D20" s="260"/>
      <c r="E20" s="259" t="s">
        <v>166</v>
      </c>
      <c r="F20" s="256" t="s">
        <v>167</v>
      </c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</row>
    <row r="21" spans="1:37" x14ac:dyDescent="0.25">
      <c r="A21" s="256" t="s">
        <v>186</v>
      </c>
      <c r="B21" s="260" t="s">
        <v>187</v>
      </c>
      <c r="C21" s="256" t="s">
        <v>170</v>
      </c>
      <c r="D21" s="257"/>
      <c r="E21" s="259" t="s">
        <v>7</v>
      </c>
      <c r="F21" s="261">
        <f>SUM(G21:AK21)</f>
        <v>533.10000000000014</v>
      </c>
      <c r="G21" s="277"/>
      <c r="H21" s="277"/>
      <c r="I21" s="277"/>
      <c r="J21" s="277">
        <f>'прилож_ДЦ-1'!G36</f>
        <v>0</v>
      </c>
      <c r="K21" s="277">
        <f>'прилож_ДЦ-1'!H36</f>
        <v>174.90000000000003</v>
      </c>
      <c r="L21" s="277">
        <f>'прилож_ДЦ-1'!I36</f>
        <v>168.4</v>
      </c>
      <c r="M21" s="277">
        <f>'прилож_ДЦ-1'!J36</f>
        <v>0.4</v>
      </c>
      <c r="N21" s="277">
        <f>'прилож_ДЦ-1'!K36</f>
        <v>0</v>
      </c>
      <c r="O21" s="277">
        <f>'прилож_ДЦ-1'!L36</f>
        <v>0</v>
      </c>
      <c r="P21" s="277">
        <f>'прилож_ДЦ-1'!M36</f>
        <v>0</v>
      </c>
      <c r="Q21" s="277">
        <f>'прилож_ДЦ-1'!N36</f>
        <v>18.100000000000001</v>
      </c>
      <c r="R21" s="278">
        <f>'прилож_ДЦ-1'!O36</f>
        <v>171.3000000000001</v>
      </c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8"/>
    </row>
    <row r="22" spans="1:37" x14ac:dyDescent="0.25">
      <c r="A22" s="256" t="s">
        <v>188</v>
      </c>
      <c r="B22" s="257"/>
      <c r="C22" s="256" t="s">
        <v>172</v>
      </c>
      <c r="D22" s="257"/>
      <c r="E22" s="259" t="s">
        <v>10</v>
      </c>
      <c r="F22" s="265">
        <f>SUMPRODUCT(G21:AK21,G22:AK22)/F21</f>
        <v>346.0063777902833</v>
      </c>
      <c r="G22" s="280"/>
      <c r="H22" s="281"/>
      <c r="I22" s="281"/>
      <c r="J22" s="281">
        <f>'прилож_ДЦ-1'!G38</f>
        <v>0</v>
      </c>
      <c r="K22" s="281">
        <f>'прилож_ДЦ-1'!H38</f>
        <v>318</v>
      </c>
      <c r="L22" s="281">
        <f>'прилож_ДЦ-1'!I38</f>
        <v>318</v>
      </c>
      <c r="M22" s="282">
        <f>'прилож_ДЦ-1'!J38</f>
        <v>392</v>
      </c>
      <c r="N22" s="281">
        <f>'прилож_ДЦ-1'!K38</f>
        <v>0</v>
      </c>
      <c r="O22" s="281">
        <f>'прилож_ДЦ-1'!L38</f>
        <v>0</v>
      </c>
      <c r="P22" s="281">
        <f>'прилож_ДЦ-1'!M38</f>
        <v>0</v>
      </c>
      <c r="Q22" s="281">
        <f>'прилож_ДЦ-1'!N38</f>
        <v>545</v>
      </c>
      <c r="R22" s="283">
        <f>'прилож_ДЦ-1'!O38</f>
        <v>381</v>
      </c>
      <c r="S22" s="282"/>
      <c r="T22" s="281"/>
      <c r="U22" s="281"/>
      <c r="V22" s="281"/>
      <c r="W22" s="282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2"/>
      <c r="AK22" s="284"/>
    </row>
    <row r="23" spans="1:37" x14ac:dyDescent="0.25">
      <c r="A23" s="256" t="s">
        <v>189</v>
      </c>
      <c r="B23" s="257"/>
      <c r="C23" s="256" t="s">
        <v>174</v>
      </c>
      <c r="D23" s="257"/>
      <c r="E23" s="259" t="s">
        <v>10</v>
      </c>
      <c r="F23" s="268">
        <f>SUMPRODUCT(G21:AK21,G23:AK23)/F21</f>
        <v>122.31753593780368</v>
      </c>
      <c r="G23" s="285"/>
      <c r="H23" s="286"/>
      <c r="I23" s="286"/>
      <c r="J23" s="286">
        <f>'прилож_ДЦ-1'!G45</f>
        <v>0</v>
      </c>
      <c r="K23" s="286">
        <f>'прилож_ДЦ-1'!H45</f>
        <v>130</v>
      </c>
      <c r="L23" s="286">
        <f>'прилож_ДЦ-1'!I45</f>
        <v>130</v>
      </c>
      <c r="M23" s="286">
        <f>'прилож_ДЦ-1'!J45</f>
        <v>53</v>
      </c>
      <c r="N23" s="286">
        <f>'прилож_ДЦ-1'!K45</f>
        <v>0</v>
      </c>
      <c r="O23" s="286">
        <f>'прилож_ДЦ-1'!L45</f>
        <v>0</v>
      </c>
      <c r="P23" s="286">
        <f>'прилож_ДЦ-1'!M45</f>
        <v>0</v>
      </c>
      <c r="Q23" s="286">
        <f>'прилож_ДЦ-1'!N45</f>
        <v>7.0630300726520545E-2</v>
      </c>
      <c r="R23" s="287">
        <f>'прилож_ДЦ-1'!O45</f>
        <v>120</v>
      </c>
      <c r="S23" s="288"/>
      <c r="T23" s="286"/>
      <c r="U23" s="286"/>
      <c r="V23" s="286"/>
      <c r="W23" s="288"/>
      <c r="X23" s="286"/>
      <c r="Y23" s="286"/>
      <c r="Z23" s="286"/>
      <c r="AA23" s="286"/>
      <c r="AB23" s="286"/>
      <c r="AC23" s="286"/>
      <c r="AD23" s="286"/>
      <c r="AE23" s="286"/>
      <c r="AF23" s="286"/>
      <c r="AG23" s="286"/>
      <c r="AH23" s="286"/>
      <c r="AI23" s="286"/>
      <c r="AJ23" s="288"/>
      <c r="AK23" s="289"/>
    </row>
    <row r="24" spans="1:37" x14ac:dyDescent="0.25">
      <c r="A24" s="256" t="s">
        <v>190</v>
      </c>
      <c r="B24" s="257"/>
      <c r="C24" s="256" t="s">
        <v>176</v>
      </c>
      <c r="D24" s="257"/>
      <c r="E24" s="259" t="s">
        <v>177</v>
      </c>
      <c r="F24" s="268">
        <f>SUMPRODUCT(G21:AK21,G24:AK24)/F21</f>
        <v>61.603826674169959</v>
      </c>
      <c r="G24" s="285"/>
      <c r="H24" s="286"/>
      <c r="I24" s="286"/>
      <c r="J24" s="286">
        <f>'прилож_ДЦ-1'!G46</f>
        <v>0</v>
      </c>
      <c r="K24" s="286">
        <f>'прилож_ДЦ-1'!H46</f>
        <v>62</v>
      </c>
      <c r="L24" s="286">
        <f>'прилож_ДЦ-1'!I46</f>
        <v>62</v>
      </c>
      <c r="M24" s="288">
        <f>'прилож_ДЦ-1'!J46</f>
        <v>77</v>
      </c>
      <c r="N24" s="286">
        <f>'прилож_ДЦ-1'!K46</f>
        <v>0</v>
      </c>
      <c r="O24" s="286">
        <f>'прилож_ДЦ-1'!L46</f>
        <v>0</v>
      </c>
      <c r="P24" s="286">
        <f>'прилож_ДЦ-1'!M46</f>
        <v>0</v>
      </c>
      <c r="Q24" s="286">
        <f>'прилож_ДЦ-1'!N46</f>
        <v>50</v>
      </c>
      <c r="R24" s="287">
        <f>'прилож_ДЦ-1'!O46</f>
        <v>62</v>
      </c>
      <c r="S24" s="288"/>
      <c r="T24" s="286"/>
      <c r="U24" s="286"/>
      <c r="V24" s="286"/>
      <c r="W24" s="288"/>
      <c r="X24" s="286"/>
      <c r="Y24" s="286"/>
      <c r="Z24" s="286"/>
      <c r="AA24" s="286"/>
      <c r="AB24" s="286"/>
      <c r="AC24" s="286"/>
      <c r="AD24" s="286"/>
      <c r="AE24" s="286"/>
      <c r="AF24" s="286"/>
      <c r="AG24" s="286"/>
      <c r="AH24" s="286"/>
      <c r="AI24" s="286"/>
      <c r="AJ24" s="288"/>
      <c r="AK24" s="289"/>
    </row>
    <row r="25" spans="1:37" x14ac:dyDescent="0.25">
      <c r="A25" s="256" t="s">
        <v>191</v>
      </c>
      <c r="B25" s="257"/>
      <c r="C25" s="256" t="s">
        <v>179</v>
      </c>
      <c r="D25" s="257"/>
      <c r="E25" s="259" t="s">
        <v>177</v>
      </c>
      <c r="F25" s="271">
        <f>SUMPRODUCT(G21:AK21,G25:AK25)/F21</f>
        <v>108.23447758394298</v>
      </c>
      <c r="G25" s="290"/>
      <c r="H25" s="291"/>
      <c r="I25" s="291"/>
      <c r="J25" s="291">
        <f>'прилож_ДЦ-1'!G47</f>
        <v>0</v>
      </c>
      <c r="K25" s="291">
        <f>'прилож_ДЦ-1'!H47</f>
        <v>110</v>
      </c>
      <c r="L25" s="291">
        <f>'прилож_ДЦ-1'!I47</f>
        <v>110</v>
      </c>
      <c r="M25" s="292">
        <f>'прилож_ДЦ-1'!J47</f>
        <v>110</v>
      </c>
      <c r="N25" s="291">
        <f>'прилож_ДЦ-1'!K47</f>
        <v>0</v>
      </c>
      <c r="O25" s="291">
        <f>'прилож_ДЦ-1'!L47</f>
        <v>0</v>
      </c>
      <c r="P25" s="291">
        <f>'прилож_ДЦ-1'!M47</f>
        <v>0</v>
      </c>
      <c r="Q25" s="291">
        <f>'прилож_ДЦ-1'!N47</f>
        <v>58</v>
      </c>
      <c r="R25" s="293">
        <f>'прилож_ДЦ-1'!O47</f>
        <v>110</v>
      </c>
      <c r="S25" s="292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2"/>
      <c r="AK25" s="297"/>
    </row>
    <row r="26" spans="1:37" x14ac:dyDescent="0.25">
      <c r="A26" s="257"/>
      <c r="B26" s="257"/>
      <c r="C26" s="257"/>
      <c r="D26" s="257"/>
      <c r="E26" s="257"/>
      <c r="F26" s="298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</row>
    <row r="27" spans="1:37" x14ac:dyDescent="0.25">
      <c r="A27" s="257"/>
      <c r="B27" s="257"/>
      <c r="C27" s="257"/>
      <c r="D27" s="257"/>
      <c r="E27" s="257"/>
      <c r="F27" s="298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</row>
    <row r="28" spans="1:37" x14ac:dyDescent="0.25">
      <c r="A28" s="257"/>
      <c r="B28" s="257"/>
      <c r="C28" s="256" t="s">
        <v>165</v>
      </c>
      <c r="D28" s="260"/>
      <c r="E28" s="259" t="s">
        <v>166</v>
      </c>
      <c r="F28" s="256" t="s">
        <v>167</v>
      </c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</row>
    <row r="29" spans="1:37" x14ac:dyDescent="0.25">
      <c r="A29" s="256" t="s">
        <v>192</v>
      </c>
      <c r="B29" s="260" t="s">
        <v>193</v>
      </c>
      <c r="C29" s="256" t="s">
        <v>170</v>
      </c>
      <c r="D29" s="257"/>
      <c r="E29" s="259" t="s">
        <v>7</v>
      </c>
      <c r="F29" s="261">
        <f>SUM(G29:AK29)</f>
        <v>1704.7000000000003</v>
      </c>
      <c r="G29" s="277"/>
      <c r="H29" s="277"/>
      <c r="I29" s="277"/>
      <c r="J29" s="277">
        <f>'прилож_ДЦ-1'!G54</f>
        <v>0</v>
      </c>
      <c r="K29" s="277">
        <f>'прилож_ДЦ-1'!H54</f>
        <v>238.60000000000011</v>
      </c>
      <c r="L29" s="277">
        <f>'прилож_ДЦ-1'!I54</f>
        <v>230.70000000000013</v>
      </c>
      <c r="M29" s="277">
        <f>'прилож_ДЦ-1'!J54</f>
        <v>241.4</v>
      </c>
      <c r="N29" s="277">
        <f>'прилож_ДЦ-1'!K54</f>
        <v>241.4</v>
      </c>
      <c r="O29" s="277">
        <f>'прилож_ДЦ-1'!L54</f>
        <v>232.4</v>
      </c>
      <c r="P29" s="277">
        <f>'прилож_ДЦ-1'!M54</f>
        <v>240.2</v>
      </c>
      <c r="Q29" s="277">
        <f>'прилож_ДЦ-1'!N54</f>
        <v>232.4</v>
      </c>
      <c r="R29" s="278">
        <f>'прилож_ДЦ-1'!O54</f>
        <v>47.599999999999994</v>
      </c>
      <c r="S29" s="277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79"/>
      <c r="AK29" s="278"/>
    </row>
    <row r="30" spans="1:37" x14ac:dyDescent="0.25">
      <c r="A30" s="256" t="s">
        <v>194</v>
      </c>
      <c r="B30" s="257"/>
      <c r="C30" s="256" t="s">
        <v>172</v>
      </c>
      <c r="D30" s="257"/>
      <c r="E30" s="259" t="s">
        <v>10</v>
      </c>
      <c r="F30" s="265">
        <f>SUMPRODUCT(G29:AK29,G30:AK30)/F29</f>
        <v>306.965859095442</v>
      </c>
      <c r="G30" s="280"/>
      <c r="H30" s="281"/>
      <c r="I30" s="281"/>
      <c r="J30" s="281">
        <f>'прилож_ДЦ-1'!G56</f>
        <v>0</v>
      </c>
      <c r="K30" s="281">
        <f>'прилож_ДЦ-1'!H56</f>
        <v>310</v>
      </c>
      <c r="L30" s="281">
        <f>'прилож_ДЦ-1'!I56</f>
        <v>309</v>
      </c>
      <c r="M30" s="282">
        <f>'прилож_ДЦ-1'!J56</f>
        <v>305</v>
      </c>
      <c r="N30" s="281">
        <f>'прилож_ДЦ-1'!K56</f>
        <v>305</v>
      </c>
      <c r="O30" s="281">
        <f>'прилож_ДЦ-1'!L56</f>
        <v>305</v>
      </c>
      <c r="P30" s="281">
        <f>'прилож_ДЦ-1'!M56</f>
        <v>304</v>
      </c>
      <c r="Q30" s="281">
        <f>'прилож_ДЦ-1'!N56</f>
        <v>305</v>
      </c>
      <c r="R30" s="283">
        <f>'прилож_ДЦ-1'!O56</f>
        <v>336</v>
      </c>
      <c r="S30" s="282"/>
      <c r="T30" s="281"/>
      <c r="U30" s="282"/>
      <c r="V30" s="281"/>
      <c r="W30" s="281"/>
      <c r="X30" s="281"/>
      <c r="Y30" s="282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2"/>
      <c r="AK30" s="284"/>
    </row>
    <row r="31" spans="1:37" x14ac:dyDescent="0.25">
      <c r="A31" s="256" t="s">
        <v>195</v>
      </c>
      <c r="B31" s="257"/>
      <c r="C31" s="256" t="s">
        <v>174</v>
      </c>
      <c r="D31" s="257"/>
      <c r="E31" s="259" t="s">
        <v>10</v>
      </c>
      <c r="F31" s="268">
        <f>SUMPRODUCT(G29:AK29,G31:AK31)/F29</f>
        <v>128.38569836334838</v>
      </c>
      <c r="G31" s="285"/>
      <c r="H31" s="286"/>
      <c r="I31" s="286"/>
      <c r="J31" s="286">
        <f>'прилож_ДЦ-1'!G62</f>
        <v>0</v>
      </c>
      <c r="K31" s="286">
        <f>'прилож_ДЦ-1'!H62</f>
        <v>129</v>
      </c>
      <c r="L31" s="286">
        <f>'прилож_ДЦ-1'!I62</f>
        <v>129</v>
      </c>
      <c r="M31" s="286">
        <f>'прилож_ДЦ-1'!J62</f>
        <v>129</v>
      </c>
      <c r="N31" s="286">
        <f>'прилож_ДЦ-1'!K62</f>
        <v>129</v>
      </c>
      <c r="O31" s="286">
        <f>'прилож_ДЦ-1'!L62</f>
        <v>129</v>
      </c>
      <c r="P31" s="286">
        <f>'прилож_ДЦ-1'!M62</f>
        <v>129</v>
      </c>
      <c r="Q31" s="286">
        <f>'прилож_ДЦ-1'!N62</f>
        <v>129</v>
      </c>
      <c r="R31" s="287">
        <f>'прилож_ДЦ-1'!O62</f>
        <v>107</v>
      </c>
      <c r="S31" s="288"/>
      <c r="T31" s="286"/>
      <c r="U31" s="286"/>
      <c r="V31" s="286"/>
      <c r="W31" s="288"/>
      <c r="X31" s="286"/>
      <c r="Y31" s="286"/>
      <c r="Z31" s="286"/>
      <c r="AA31" s="286"/>
      <c r="AB31" s="286"/>
      <c r="AC31" s="286"/>
      <c r="AD31" s="286"/>
      <c r="AE31" s="286"/>
      <c r="AF31" s="286"/>
      <c r="AG31" s="286"/>
      <c r="AH31" s="286"/>
      <c r="AI31" s="286"/>
      <c r="AJ31" s="288"/>
      <c r="AK31" s="289"/>
    </row>
    <row r="32" spans="1:37" x14ac:dyDescent="0.25">
      <c r="A32" s="256" t="s">
        <v>196</v>
      </c>
      <c r="B32" s="257"/>
      <c r="C32" s="256" t="s">
        <v>176</v>
      </c>
      <c r="D32" s="257"/>
      <c r="E32" s="259" t="s">
        <v>177</v>
      </c>
      <c r="F32" s="268">
        <f>SUMPRODUCT(G29:AK29,G32:AK32)/F29</f>
        <v>65.972077198334006</v>
      </c>
      <c r="G32" s="285"/>
      <c r="H32" s="286"/>
      <c r="I32" s="286"/>
      <c r="J32" s="286">
        <f>'прилож_ДЦ-1'!G63</f>
        <v>0</v>
      </c>
      <c r="K32" s="286">
        <f>'прилож_ДЦ-1'!H63</f>
        <v>66</v>
      </c>
      <c r="L32" s="286">
        <f>'прилож_ДЦ-1'!I63</f>
        <v>66</v>
      </c>
      <c r="M32" s="288">
        <f>'прилож_ДЦ-1'!J63</f>
        <v>66</v>
      </c>
      <c r="N32" s="286">
        <f>'прилож_ДЦ-1'!K63</f>
        <v>66</v>
      </c>
      <c r="O32" s="286">
        <f>'прилож_ДЦ-1'!L63</f>
        <v>66</v>
      </c>
      <c r="P32" s="286">
        <f>'прилож_ДЦ-1'!M63</f>
        <v>66</v>
      </c>
      <c r="Q32" s="286">
        <f>'прилож_ДЦ-1'!N63</f>
        <v>66</v>
      </c>
      <c r="R32" s="287">
        <f>'прилож_ДЦ-1'!O63</f>
        <v>65</v>
      </c>
      <c r="S32" s="288"/>
      <c r="T32" s="286"/>
      <c r="U32" s="286"/>
      <c r="V32" s="286"/>
      <c r="W32" s="288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  <c r="AJ32" s="288"/>
      <c r="AK32" s="289"/>
    </row>
    <row r="33" spans="1:37" x14ac:dyDescent="0.25">
      <c r="A33" s="256" t="s">
        <v>197</v>
      </c>
      <c r="B33" s="257"/>
      <c r="C33" s="256" t="s">
        <v>179</v>
      </c>
      <c r="D33" s="257"/>
      <c r="E33" s="259" t="s">
        <v>177</v>
      </c>
      <c r="F33" s="271">
        <f>SUMPRODUCT(G29:AK29,G33:AK33)/F29</f>
        <v>106.26479732504254</v>
      </c>
      <c r="G33" s="290"/>
      <c r="H33" s="291"/>
      <c r="I33" s="291"/>
      <c r="J33" s="291">
        <f>'прилож_ДЦ-1'!G64</f>
        <v>0</v>
      </c>
      <c r="K33" s="291">
        <f>'прилож_ДЦ-1'!H64</f>
        <v>110</v>
      </c>
      <c r="L33" s="291">
        <f>'прилож_ДЦ-1'!I64</f>
        <v>110</v>
      </c>
      <c r="M33" s="292">
        <f>'прилож_ДЦ-1'!J64</f>
        <v>105</v>
      </c>
      <c r="N33" s="291">
        <f>'прилож_ДЦ-1'!K64</f>
        <v>105</v>
      </c>
      <c r="O33" s="291">
        <f>'прилож_ДЦ-1'!L64</f>
        <v>105</v>
      </c>
      <c r="P33" s="291">
        <f>'прилож_ДЦ-1'!M64</f>
        <v>105</v>
      </c>
      <c r="Q33" s="291">
        <f>'прилож_ДЦ-1'!N64</f>
        <v>105</v>
      </c>
      <c r="R33" s="293">
        <f>'прилож_ДЦ-1'!O64</f>
        <v>101</v>
      </c>
      <c r="S33" s="292"/>
      <c r="T33" s="291"/>
      <c r="U33" s="291"/>
      <c r="V33" s="291"/>
      <c r="W33" s="292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2"/>
      <c r="AK33" s="297"/>
    </row>
    <row r="34" spans="1:37" x14ac:dyDescent="0.25">
      <c r="A34" s="257"/>
      <c r="B34" s="257"/>
      <c r="C34" s="257"/>
      <c r="D34" s="257"/>
      <c r="E34" s="257"/>
      <c r="F34" s="298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  <c r="AE34" s="299"/>
      <c r="AF34" s="299"/>
      <c r="AG34" s="299"/>
      <c r="AH34" s="299"/>
      <c r="AI34" s="299"/>
      <c r="AJ34" s="299"/>
      <c r="AK34" s="299"/>
    </row>
    <row r="35" spans="1:37" x14ac:dyDescent="0.25">
      <c r="A35" s="257"/>
      <c r="B35" s="257"/>
      <c r="C35" s="257"/>
      <c r="D35" s="257"/>
      <c r="E35" s="257"/>
      <c r="F35" s="257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</row>
    <row r="36" spans="1:37" x14ac:dyDescent="0.25">
      <c r="A36" s="257"/>
      <c r="B36" s="257"/>
      <c r="C36" s="256" t="s">
        <v>165</v>
      </c>
      <c r="D36" s="260"/>
      <c r="E36" s="259" t="s">
        <v>166</v>
      </c>
      <c r="F36" s="256" t="s">
        <v>167</v>
      </c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</row>
    <row r="37" spans="1:37" x14ac:dyDescent="0.25">
      <c r="A37" s="256" t="s">
        <v>198</v>
      </c>
      <c r="B37" s="260" t="s">
        <v>199</v>
      </c>
      <c r="C37" s="256" t="s">
        <v>170</v>
      </c>
      <c r="D37" s="257"/>
      <c r="E37" s="259" t="s">
        <v>7</v>
      </c>
      <c r="F37" s="261">
        <f>SUM(G37:AK37)</f>
        <v>2183.0000000000005</v>
      </c>
      <c r="G37" s="277"/>
      <c r="H37" s="277"/>
      <c r="I37" s="277"/>
      <c r="J37" s="277">
        <f>'ДЦ-1,2'!G107</f>
        <v>0</v>
      </c>
      <c r="K37" s="277">
        <f>'ДЦ-1,2'!H107</f>
        <v>282.10000000000008</v>
      </c>
      <c r="L37" s="277">
        <f>'ДЦ-1,2'!I107</f>
        <v>272.7000000000001</v>
      </c>
      <c r="M37" s="277">
        <f>'ДЦ-1,2'!J107</f>
        <v>282.10000000000002</v>
      </c>
      <c r="N37" s="277">
        <f>'ДЦ-1,2'!K107</f>
        <v>282.10000000000002</v>
      </c>
      <c r="O37" s="277">
        <f>'ДЦ-1,2'!L107</f>
        <v>272.7000000000001</v>
      </c>
      <c r="P37" s="277">
        <f>'ДЦ-1,2'!M107</f>
        <v>234.7000000000001</v>
      </c>
      <c r="Q37" s="277">
        <f>'ДЦ-1,2'!N107</f>
        <v>274.20000000000005</v>
      </c>
      <c r="R37" s="278">
        <f>'ДЦ-1,2'!O107</f>
        <v>282.40000000000003</v>
      </c>
      <c r="S37" s="277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8"/>
    </row>
    <row r="38" spans="1:37" x14ac:dyDescent="0.25">
      <c r="A38" s="256" t="s">
        <v>200</v>
      </c>
      <c r="B38" s="257"/>
      <c r="C38" s="256" t="s">
        <v>172</v>
      </c>
      <c r="D38" s="257"/>
      <c r="E38" s="259" t="s">
        <v>10</v>
      </c>
      <c r="F38" s="265">
        <f>SUMPRODUCT(G37:AK37,G38:AK38)/F37</f>
        <v>321.36000916170406</v>
      </c>
      <c r="G38" s="280"/>
      <c r="H38" s="281"/>
      <c r="I38" s="281"/>
      <c r="J38" s="281">
        <f>'ДЦ-1,2'!G124</f>
        <v>0</v>
      </c>
      <c r="K38" s="281">
        <f>'ДЦ-1,2'!H124</f>
        <v>322</v>
      </c>
      <c r="L38" s="281">
        <f>'ДЦ-1,2'!I124</f>
        <v>322</v>
      </c>
      <c r="M38" s="282">
        <f>'ДЦ-1,2'!J124</f>
        <v>318</v>
      </c>
      <c r="N38" s="281">
        <f>'ДЦ-1,2'!K124</f>
        <v>318</v>
      </c>
      <c r="O38" s="281">
        <f>'ДЦ-1,2'!L124</f>
        <v>318</v>
      </c>
      <c r="P38" s="281">
        <f>'ДЦ-1,2'!M124</f>
        <v>341</v>
      </c>
      <c r="Q38" s="281">
        <f>'ДЦ-1,2'!N124</f>
        <v>318</v>
      </c>
      <c r="R38" s="283">
        <f>'ДЦ-1,2'!O124</f>
        <v>317</v>
      </c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  <c r="AF38" s="282"/>
      <c r="AG38" s="282"/>
      <c r="AH38" s="282"/>
      <c r="AI38" s="282"/>
      <c r="AJ38" s="282"/>
      <c r="AK38" s="284"/>
    </row>
    <row r="39" spans="1:37" x14ac:dyDescent="0.25">
      <c r="A39" s="256" t="s">
        <v>201</v>
      </c>
      <c r="B39" s="257"/>
      <c r="C39" s="256" t="s">
        <v>174</v>
      </c>
      <c r="D39" s="257"/>
      <c r="E39" s="259" t="s">
        <v>10</v>
      </c>
      <c r="F39" s="268">
        <f>SUMPRODUCT(G37:AK37,G39:AK39)/F37</f>
        <v>126.63472285845168</v>
      </c>
      <c r="G39" s="285"/>
      <c r="H39" s="286"/>
      <c r="I39" s="286"/>
      <c r="J39" s="286">
        <f>'ДЦ-1,2'!G131</f>
        <v>0</v>
      </c>
      <c r="K39" s="286">
        <f>'ДЦ-1,2'!H131</f>
        <v>129</v>
      </c>
      <c r="L39" s="286">
        <f>'ДЦ-1,2'!I131</f>
        <v>129</v>
      </c>
      <c r="M39" s="286">
        <f>'ДЦ-1,2'!J131</f>
        <v>129</v>
      </c>
      <c r="N39" s="286">
        <f>'ДЦ-1,2'!K131</f>
        <v>129</v>
      </c>
      <c r="O39" s="286">
        <f>'ДЦ-1,2'!L131</f>
        <v>129</v>
      </c>
      <c r="P39" s="286">
        <f>'ДЦ-1,2'!M131</f>
        <v>107</v>
      </c>
      <c r="Q39" s="286">
        <f>'ДЦ-1,2'!N131</f>
        <v>129</v>
      </c>
      <c r="R39" s="287">
        <f>'ДЦ-1,2'!O131</f>
        <v>129</v>
      </c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9"/>
    </row>
    <row r="40" spans="1:37" x14ac:dyDescent="0.25">
      <c r="A40" s="256" t="s">
        <v>202</v>
      </c>
      <c r="B40" s="257"/>
      <c r="C40" s="256" t="s">
        <v>176</v>
      </c>
      <c r="D40" s="257"/>
      <c r="E40" s="259" t="s">
        <v>177</v>
      </c>
      <c r="F40" s="268">
        <f>SUMPRODUCT(G37:AK37,G40:AK40)/F37</f>
        <v>57.537562986715535</v>
      </c>
      <c r="G40" s="285"/>
      <c r="H40" s="286"/>
      <c r="I40" s="286"/>
      <c r="J40" s="286">
        <f>'ДЦ-1,2'!G132</f>
        <v>0</v>
      </c>
      <c r="K40" s="286">
        <f>'ДЦ-1,2'!H132</f>
        <v>57</v>
      </c>
      <c r="L40" s="286">
        <f>'ДЦ-1,2'!I132</f>
        <v>57</v>
      </c>
      <c r="M40" s="288">
        <f>'ДЦ-1,2'!J132</f>
        <v>57</v>
      </c>
      <c r="N40" s="286">
        <f>'ДЦ-1,2'!K132</f>
        <v>57</v>
      </c>
      <c r="O40" s="286">
        <f>'ДЦ-1,2'!L132</f>
        <v>57</v>
      </c>
      <c r="P40" s="286">
        <f>'ДЦ-1,2'!M132</f>
        <v>62</v>
      </c>
      <c r="Q40" s="286">
        <f>'ДЦ-1,2'!N132</f>
        <v>57</v>
      </c>
      <c r="R40" s="287">
        <f>'ДЦ-1,2'!O132</f>
        <v>57</v>
      </c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9"/>
    </row>
    <row r="41" spans="1:37" x14ac:dyDescent="0.25">
      <c r="A41" s="256" t="s">
        <v>203</v>
      </c>
      <c r="B41" s="257"/>
      <c r="C41" s="256" t="s">
        <v>179</v>
      </c>
      <c r="D41" s="257"/>
      <c r="E41" s="259" t="s">
        <v>177</v>
      </c>
      <c r="F41" s="271">
        <f>SUMPRODUCT(G37:AK37,G41:AK41)/F37</f>
        <v>107.76243701328445</v>
      </c>
      <c r="G41" s="290"/>
      <c r="H41" s="291"/>
      <c r="I41" s="291"/>
      <c r="J41" s="291">
        <f>'ДЦ-1,2'!G133</f>
        <v>0</v>
      </c>
      <c r="K41" s="291">
        <f>'ДЦ-1,2'!H133</f>
        <v>110</v>
      </c>
      <c r="L41" s="291">
        <f>'ДЦ-1,2'!I133</f>
        <v>110</v>
      </c>
      <c r="M41" s="292">
        <f>'ДЦ-1,2'!J133</f>
        <v>107</v>
      </c>
      <c r="N41" s="291">
        <f>'ДЦ-1,2'!K133</f>
        <v>107</v>
      </c>
      <c r="O41" s="291">
        <f>'ДЦ-1,2'!L133</f>
        <v>107</v>
      </c>
      <c r="P41" s="291">
        <f>'ДЦ-1,2'!M133</f>
        <v>107</v>
      </c>
      <c r="Q41" s="291">
        <f>'ДЦ-1,2'!N133</f>
        <v>107</v>
      </c>
      <c r="R41" s="293">
        <f>'ДЦ-1,2'!O133</f>
        <v>107</v>
      </c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7"/>
    </row>
    <row r="42" spans="1:37" x14ac:dyDescent="0.25">
      <c r="A42" s="257"/>
      <c r="B42" s="257"/>
      <c r="C42" s="257"/>
      <c r="D42" s="257"/>
      <c r="E42" s="257"/>
      <c r="F42" s="298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299"/>
      <c r="AD42" s="299"/>
      <c r="AE42" s="299"/>
      <c r="AF42" s="299"/>
      <c r="AG42" s="299"/>
      <c r="AH42" s="299"/>
      <c r="AI42" s="299"/>
      <c r="AJ42" s="299"/>
      <c r="AK42" s="299"/>
    </row>
    <row r="43" spans="1:37" x14ac:dyDescent="0.25">
      <c r="A43" s="257"/>
      <c r="B43" s="257"/>
      <c r="C43" s="257"/>
      <c r="D43" s="257"/>
      <c r="E43" s="257"/>
      <c r="F43" s="298"/>
      <c r="G43" s="258"/>
      <c r="H43" s="258"/>
      <c r="I43" s="258"/>
      <c r="J43" s="258"/>
      <c r="K43" s="258"/>
      <c r="L43" s="300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300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</row>
    <row r="44" spans="1:37" x14ac:dyDescent="0.25">
      <c r="A44" s="257"/>
      <c r="B44" s="257"/>
      <c r="C44" s="256" t="s">
        <v>165</v>
      </c>
      <c r="D44" s="260"/>
      <c r="E44" s="259" t="s">
        <v>166</v>
      </c>
      <c r="F44" s="256" t="s">
        <v>167</v>
      </c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</row>
    <row r="45" spans="1:37" x14ac:dyDescent="0.25">
      <c r="A45" s="256" t="s">
        <v>204</v>
      </c>
      <c r="B45" s="260" t="s">
        <v>205</v>
      </c>
      <c r="C45" s="256" t="s">
        <v>170</v>
      </c>
      <c r="D45" s="257"/>
      <c r="E45" s="259" t="s">
        <v>7</v>
      </c>
      <c r="F45" s="261">
        <f>SUM(G45:AK45)</f>
        <v>2713.6</v>
      </c>
      <c r="G45" s="277"/>
      <c r="H45" s="277"/>
      <c r="I45" s="277"/>
      <c r="J45" s="277">
        <f>'ДЦ-1,2'!G150</f>
        <v>0</v>
      </c>
      <c r="K45" s="277">
        <f>'ДЦ-1,2'!H150</f>
        <v>295.00000000000011</v>
      </c>
      <c r="L45" s="277">
        <f>'ДЦ-1,2'!I150</f>
        <v>343.49999999999989</v>
      </c>
      <c r="M45" s="277">
        <f>'ДЦ-1,2'!J150</f>
        <v>358.1</v>
      </c>
      <c r="N45" s="277">
        <f>'ДЦ-1,2'!K150</f>
        <v>358.1</v>
      </c>
      <c r="O45" s="277">
        <f>'ДЦ-1,2'!L150</f>
        <v>346.5</v>
      </c>
      <c r="P45" s="277">
        <f>'ДЦ-1,2'!M150</f>
        <v>348.5</v>
      </c>
      <c r="Q45" s="277">
        <f>'ДЦ-1,2'!N150</f>
        <v>341</v>
      </c>
      <c r="R45" s="278">
        <f>'ДЦ-1,2'!O150</f>
        <v>322.89999999999998</v>
      </c>
      <c r="S45" s="277"/>
      <c r="T45" s="279"/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279"/>
      <c r="AG45" s="279"/>
      <c r="AH45" s="279"/>
      <c r="AI45" s="279"/>
      <c r="AJ45" s="279"/>
      <c r="AK45" s="278"/>
    </row>
    <row r="46" spans="1:37" x14ac:dyDescent="0.25">
      <c r="A46" s="256" t="s">
        <v>206</v>
      </c>
      <c r="B46" s="257"/>
      <c r="C46" s="256" t="s">
        <v>172</v>
      </c>
      <c r="D46" s="257"/>
      <c r="E46" s="259" t="s">
        <v>10</v>
      </c>
      <c r="F46" s="265">
        <f>SUMPRODUCT(G45:AK45,G46:AK46)/F45</f>
        <v>322.16804245283021</v>
      </c>
      <c r="G46" s="280"/>
      <c r="H46" s="281"/>
      <c r="I46" s="281"/>
      <c r="J46" s="281">
        <f>'ДЦ-1,2'!G165</f>
        <v>0</v>
      </c>
      <c r="K46" s="281">
        <f>'ДЦ-1,2'!H165</f>
        <v>340</v>
      </c>
      <c r="L46" s="281">
        <f>'ДЦ-1,2'!I165</f>
        <v>322</v>
      </c>
      <c r="M46" s="282">
        <f>'ДЦ-1,2'!J165</f>
        <v>316</v>
      </c>
      <c r="N46" s="281">
        <f>'ДЦ-1,2'!K165</f>
        <v>330</v>
      </c>
      <c r="O46" s="281">
        <f>'ДЦ-1,2'!L165</f>
        <v>316</v>
      </c>
      <c r="P46" s="281">
        <f>'ДЦ-1,2'!M165</f>
        <v>316</v>
      </c>
      <c r="Q46" s="281">
        <f>'ДЦ-1,2'!N165</f>
        <v>316</v>
      </c>
      <c r="R46" s="283">
        <f>'ДЦ-1,2'!O165</f>
        <v>324</v>
      </c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282"/>
      <c r="AG46" s="282"/>
      <c r="AH46" s="282"/>
      <c r="AI46" s="282"/>
      <c r="AJ46" s="282"/>
      <c r="AK46" s="284"/>
    </row>
    <row r="47" spans="1:37" x14ac:dyDescent="0.25">
      <c r="A47" s="256" t="s">
        <v>207</v>
      </c>
      <c r="B47" s="257"/>
      <c r="C47" s="256" t="s">
        <v>174</v>
      </c>
      <c r="D47" s="257"/>
      <c r="E47" s="259" t="s">
        <v>10</v>
      </c>
      <c r="F47" s="268">
        <f>SUMPRODUCT(G45:AK45,G47:AK47)/F45</f>
        <v>123.3006706957547</v>
      </c>
      <c r="G47" s="285"/>
      <c r="H47" s="286"/>
      <c r="I47" s="286"/>
      <c r="J47" s="286">
        <f>'ДЦ-1,2'!G171</f>
        <v>0</v>
      </c>
      <c r="K47" s="286">
        <f>'ДЦ-1,2'!H171</f>
        <v>120</v>
      </c>
      <c r="L47" s="286">
        <f>'ДЦ-1,2'!I171</f>
        <v>120</v>
      </c>
      <c r="M47" s="286">
        <f>'ДЦ-1,2'!J171</f>
        <v>130</v>
      </c>
      <c r="N47" s="286">
        <f>'ДЦ-1,2'!K171</f>
        <v>116</v>
      </c>
      <c r="O47" s="286">
        <f>'ДЦ-1,2'!L171</f>
        <v>130</v>
      </c>
      <c r="P47" s="286">
        <f>'ДЦ-1,2'!M171</f>
        <v>130</v>
      </c>
      <c r="Q47" s="286">
        <f>'ДЦ-1,2'!N171</f>
        <v>130</v>
      </c>
      <c r="R47" s="287">
        <f>'ДЦ-1,2'!O171</f>
        <v>109</v>
      </c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9"/>
    </row>
    <row r="48" spans="1:37" x14ac:dyDescent="0.25">
      <c r="A48" s="256" t="s">
        <v>208</v>
      </c>
      <c r="B48" s="257"/>
      <c r="C48" s="256" t="s">
        <v>176</v>
      </c>
      <c r="D48" s="257"/>
      <c r="E48" s="259" t="s">
        <v>177</v>
      </c>
      <c r="F48" s="268">
        <f>SUMPRODUCT(G45:AK45,G48:AK48)/F45</f>
        <v>58.709721403301884</v>
      </c>
      <c r="G48" s="285"/>
      <c r="H48" s="286"/>
      <c r="I48" s="286"/>
      <c r="J48" s="286">
        <f>'ДЦ-1,2'!G172</f>
        <v>0</v>
      </c>
      <c r="K48" s="286">
        <f>'ДЦ-1,2'!H172</f>
        <v>60</v>
      </c>
      <c r="L48" s="286">
        <f>'ДЦ-1,2'!I172</f>
        <v>60</v>
      </c>
      <c r="M48" s="288">
        <f>'ДЦ-1,2'!J172</f>
        <v>57</v>
      </c>
      <c r="N48" s="286">
        <f>'ДЦ-1,2'!K172</f>
        <v>61</v>
      </c>
      <c r="O48" s="286">
        <f>'ДЦ-1,2'!L172</f>
        <v>57</v>
      </c>
      <c r="P48" s="286">
        <f>'ДЦ-1,2'!M172</f>
        <v>57</v>
      </c>
      <c r="Q48" s="286">
        <f>'ДЦ-1,2'!N172</f>
        <v>57</v>
      </c>
      <c r="R48" s="287">
        <f>'ДЦ-1,2'!O172</f>
        <v>61</v>
      </c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9"/>
    </row>
    <row r="49" spans="1:37" x14ac:dyDescent="0.25">
      <c r="A49" s="256" t="s">
        <v>209</v>
      </c>
      <c r="B49" s="257"/>
      <c r="C49" s="256" t="s">
        <v>179</v>
      </c>
      <c r="D49" s="257"/>
      <c r="E49" s="259" t="s">
        <v>177</v>
      </c>
      <c r="F49" s="271">
        <f>SUMPRODUCT(G45:AK45,G49:AK49)/F45</f>
        <v>109.83630601415095</v>
      </c>
      <c r="G49" s="290"/>
      <c r="H49" s="291"/>
      <c r="I49" s="291"/>
      <c r="J49" s="291">
        <f>'ДЦ-1,2'!G173</f>
        <v>0</v>
      </c>
      <c r="K49" s="291">
        <f>'ДЦ-1,2'!H173</f>
        <v>113</v>
      </c>
      <c r="L49" s="291">
        <f>'ДЦ-1,2'!I173</f>
        <v>113</v>
      </c>
      <c r="M49" s="292">
        <f>'ДЦ-1,2'!J173</f>
        <v>113</v>
      </c>
      <c r="N49" s="291">
        <f>'ДЦ-1,2'!K173</f>
        <v>108</v>
      </c>
      <c r="O49" s="291">
        <f>'ДЦ-1,2'!L173</f>
        <v>108</v>
      </c>
      <c r="P49" s="291">
        <f>'ДЦ-1,2'!M173</f>
        <v>108</v>
      </c>
      <c r="Q49" s="291">
        <f>'ДЦ-1,2'!N173</f>
        <v>108</v>
      </c>
      <c r="R49" s="293">
        <f>'ДЦ-1,2'!O173</f>
        <v>108</v>
      </c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292"/>
      <c r="AJ49" s="292"/>
      <c r="AK49" s="297"/>
    </row>
    <row r="50" spans="1:37" x14ac:dyDescent="0.25">
      <c r="A50" s="257"/>
      <c r="B50" s="257"/>
      <c r="C50" s="257"/>
      <c r="D50" s="257"/>
      <c r="E50" s="257"/>
      <c r="F50" s="298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</row>
    <row r="51" spans="1:37" x14ac:dyDescent="0.25">
      <c r="A51" s="257"/>
      <c r="B51" s="257"/>
      <c r="C51" s="257"/>
      <c r="D51" s="257"/>
      <c r="E51" s="257"/>
      <c r="F51" s="257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</row>
    <row r="52" spans="1:37" x14ac:dyDescent="0.25">
      <c r="A52" s="257"/>
      <c r="B52" s="257"/>
      <c r="C52" s="256" t="s">
        <v>165</v>
      </c>
      <c r="D52" s="260"/>
      <c r="E52" s="259" t="s">
        <v>166</v>
      </c>
      <c r="F52" s="256" t="s">
        <v>167</v>
      </c>
      <c r="G52" s="276"/>
      <c r="H52" s="276"/>
      <c r="I52" s="276"/>
      <c r="J52" s="276">
        <v>4</v>
      </c>
      <c r="K52" s="276">
        <v>5</v>
      </c>
      <c r="L52" s="276">
        <v>6</v>
      </c>
      <c r="M52" s="276">
        <v>7</v>
      </c>
      <c r="N52" s="276">
        <v>8</v>
      </c>
      <c r="O52" s="276">
        <v>9</v>
      </c>
      <c r="P52" s="276">
        <v>10</v>
      </c>
      <c r="Q52" s="276">
        <v>11</v>
      </c>
      <c r="R52" s="276">
        <v>12</v>
      </c>
      <c r="S52" s="276">
        <v>13</v>
      </c>
      <c r="T52" s="276">
        <v>14</v>
      </c>
      <c r="U52" s="276">
        <v>15</v>
      </c>
      <c r="V52" s="276">
        <v>16</v>
      </c>
      <c r="W52" s="276">
        <v>17</v>
      </c>
      <c r="X52" s="276">
        <v>18</v>
      </c>
      <c r="Y52" s="276">
        <v>19</v>
      </c>
      <c r="Z52" s="276">
        <v>20</v>
      </c>
      <c r="AA52" s="276">
        <v>21</v>
      </c>
      <c r="AB52" s="276">
        <v>22</v>
      </c>
      <c r="AC52" s="276">
        <v>23</v>
      </c>
      <c r="AD52" s="276">
        <v>24</v>
      </c>
      <c r="AE52" s="276">
        <v>25</v>
      </c>
      <c r="AF52" s="276">
        <v>26</v>
      </c>
      <c r="AG52" s="276">
        <v>27</v>
      </c>
      <c r="AH52" s="276">
        <v>28</v>
      </c>
      <c r="AI52" s="276">
        <v>29</v>
      </c>
      <c r="AJ52" s="276">
        <v>30</v>
      </c>
      <c r="AK52" s="276">
        <v>31</v>
      </c>
    </row>
    <row r="53" spans="1:37" x14ac:dyDescent="0.25">
      <c r="A53" s="256" t="s">
        <v>210</v>
      </c>
      <c r="B53" s="260" t="s">
        <v>211</v>
      </c>
      <c r="C53" s="256" t="s">
        <v>212</v>
      </c>
      <c r="D53" s="257"/>
      <c r="E53" s="259" t="s">
        <v>177</v>
      </c>
      <c r="F53" s="265">
        <v>326</v>
      </c>
      <c r="G53" s="301"/>
      <c r="H53" s="301"/>
      <c r="I53" s="301"/>
      <c r="J53" s="301">
        <f>F53</f>
        <v>326</v>
      </c>
      <c r="K53" s="301">
        <f t="shared" ref="K53:R53" si="0">J53</f>
        <v>326</v>
      </c>
      <c r="L53" s="301">
        <f t="shared" si="0"/>
        <v>326</v>
      </c>
      <c r="M53" s="301">
        <f t="shared" si="0"/>
        <v>326</v>
      </c>
      <c r="N53" s="301">
        <f t="shared" si="0"/>
        <v>326</v>
      </c>
      <c r="O53" s="301">
        <f t="shared" si="0"/>
        <v>326</v>
      </c>
      <c r="P53" s="301">
        <f t="shared" si="0"/>
        <v>326</v>
      </c>
      <c r="Q53" s="301">
        <f t="shared" si="0"/>
        <v>326</v>
      </c>
      <c r="R53" s="301">
        <f t="shared" si="0"/>
        <v>326</v>
      </c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</row>
    <row r="54" spans="1:37" x14ac:dyDescent="0.25">
      <c r="A54" s="302" t="s">
        <v>213</v>
      </c>
      <c r="B54" s="303" t="s">
        <v>214</v>
      </c>
      <c r="C54" s="302" t="s">
        <v>215</v>
      </c>
      <c r="D54" s="257"/>
      <c r="E54" s="259" t="s">
        <v>216</v>
      </c>
      <c r="F54" s="261">
        <f>АГЦ!P42</f>
        <v>44.7</v>
      </c>
      <c r="G54" s="304"/>
      <c r="H54" s="304"/>
      <c r="I54" s="304"/>
      <c r="J54" s="304">
        <f>АГЦ!G42</f>
        <v>0</v>
      </c>
      <c r="K54" s="304">
        <f>АГЦ!H42</f>
        <v>45.1</v>
      </c>
      <c r="L54" s="304">
        <f>АГЦ!I42</f>
        <v>45.4</v>
      </c>
      <c r="M54" s="304">
        <f>АГЦ!J42</f>
        <v>44.5</v>
      </c>
      <c r="N54" s="304">
        <f>АГЦ!K42</f>
        <v>44.5</v>
      </c>
      <c r="O54" s="304">
        <f>АГЦ!L42</f>
        <v>44.5</v>
      </c>
      <c r="P54" s="304">
        <f>АГЦ!M42</f>
        <v>44.5</v>
      </c>
      <c r="Q54" s="304">
        <f>АГЦ!N42</f>
        <v>44.5</v>
      </c>
      <c r="R54" s="304">
        <f>АГЦ!O42</f>
        <v>44.5</v>
      </c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/>
      <c r="AG54" s="304"/>
      <c r="AH54" s="304"/>
      <c r="AI54" s="304"/>
      <c r="AJ54" s="304"/>
      <c r="AK54" s="304"/>
    </row>
    <row r="55" spans="1:37" ht="77.25" hidden="1" outlineLevel="1" x14ac:dyDescent="0.25">
      <c r="A55" s="305" t="s">
        <v>217</v>
      </c>
      <c r="B55" s="306" t="s">
        <v>218</v>
      </c>
      <c r="C55" s="307" t="s">
        <v>219</v>
      </c>
      <c r="D55" s="302"/>
      <c r="E55" s="308" t="s">
        <v>10</v>
      </c>
      <c r="F55" s="309">
        <v>0</v>
      </c>
      <c r="G55" s="310">
        <v>0</v>
      </c>
      <c r="H55" s="310">
        <v>0</v>
      </c>
      <c r="I55" s="310">
        <v>0</v>
      </c>
      <c r="J55" s="310">
        <v>0</v>
      </c>
      <c r="K55" s="310">
        <v>0</v>
      </c>
      <c r="L55" s="310">
        <v>0</v>
      </c>
      <c r="M55" s="310">
        <v>0</v>
      </c>
      <c r="N55" s="310">
        <v>0</v>
      </c>
      <c r="O55" s="310">
        <v>0</v>
      </c>
      <c r="P55" s="310">
        <v>0</v>
      </c>
      <c r="Q55" s="310">
        <v>0</v>
      </c>
      <c r="R55" s="310">
        <v>0</v>
      </c>
      <c r="S55" s="310">
        <v>0</v>
      </c>
      <c r="T55" s="310">
        <v>0</v>
      </c>
      <c r="U55" s="310">
        <v>0</v>
      </c>
      <c r="V55" s="310">
        <v>0</v>
      </c>
      <c r="W55" s="310">
        <v>0</v>
      </c>
      <c r="X55" s="310">
        <v>0</v>
      </c>
      <c r="Y55" s="310">
        <v>0</v>
      </c>
      <c r="Z55" s="310">
        <v>0</v>
      </c>
      <c r="AA55" s="310">
        <v>0</v>
      </c>
      <c r="AB55" s="310">
        <v>0</v>
      </c>
      <c r="AC55" s="310">
        <v>0</v>
      </c>
      <c r="AD55" s="310">
        <v>0</v>
      </c>
      <c r="AE55" s="310">
        <v>0</v>
      </c>
      <c r="AF55" s="310">
        <v>0</v>
      </c>
      <c r="AG55" s="310">
        <v>0</v>
      </c>
      <c r="AH55" s="310">
        <v>0</v>
      </c>
      <c r="AI55" s="310">
        <v>0</v>
      </c>
      <c r="AJ55" s="310">
        <v>0</v>
      </c>
      <c r="AK55" s="310"/>
    </row>
    <row r="56" spans="1:37" collapsed="1" x14ac:dyDescent="0.25">
      <c r="A56" s="257"/>
      <c r="B56" s="257"/>
      <c r="C56" s="257"/>
      <c r="D56" s="257"/>
      <c r="E56" s="257"/>
      <c r="F56" s="257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</row>
    <row r="57" spans="1:37" x14ac:dyDescent="0.25">
      <c r="A57" s="257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</row>
  </sheetData>
  <mergeCells count="1">
    <mergeCell ref="Q1:R1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АГЦ</vt:lpstr>
      <vt:lpstr>ЦИБ</vt:lpstr>
      <vt:lpstr>ДЦ-1,2</vt:lpstr>
      <vt:lpstr>прилож_ДЦ-1</vt:lpstr>
      <vt:lpstr>ДЭР</vt:lpstr>
      <vt:lpstr>АГЦ!Область_печати</vt:lpstr>
      <vt:lpstr>'ДЦ-1,2'!Область_печати</vt:lpstr>
      <vt:lpstr>'прилож_ДЦ-1'!Область_печати</vt:lpstr>
      <vt:lpstr>ЦИБ!Область_печати</vt:lpstr>
    </vt:vector>
  </TitlesOfParts>
  <Company>OAO NLMK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Филатова Ольга Николаевна</dc:creator>
  <cp:lastModifiedBy>Евтеев С.В.</cp:lastModifiedBy>
  <cp:lastPrinted>2019-09-26T06:27:52Z</cp:lastPrinted>
  <dcterms:created xsi:type="dcterms:W3CDTF">2018-08-20T06:15:49Z</dcterms:created>
  <dcterms:modified xsi:type="dcterms:W3CDTF">2020-07-20T07:42:44Z</dcterms:modified>
</cp:coreProperties>
</file>