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41AD32F-2AE4-4AEA-86DB-AA61AB2C863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РЕЖИМ" sheetId="1" r:id="rId1"/>
    <sheet name="ПРВ расчет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 s="1"/>
  <c r="D42" i="1" s="1"/>
  <c r="D43" i="1" s="1"/>
  <c r="D44" i="1" s="1"/>
  <c r="D45" i="1" s="1"/>
  <c r="F40" i="1"/>
  <c r="F42" i="1" s="1"/>
  <c r="F43" i="1" s="1"/>
  <c r="F44" i="1" s="1"/>
  <c r="F45" i="1" s="1"/>
  <c r="H40" i="1"/>
  <c r="H41" i="1" s="1"/>
  <c r="H42" i="1" s="1"/>
  <c r="J40" i="1"/>
  <c r="J41" i="1" s="1"/>
  <c r="J42" i="1" s="1"/>
  <c r="J43" i="1" s="1"/>
  <c r="J44" i="1" s="1"/>
  <c r="J45" i="1" s="1"/>
  <c r="K40" i="1"/>
  <c r="K41" i="1" s="1"/>
  <c r="K42" i="1" s="1"/>
  <c r="K43" i="1" s="1"/>
  <c r="K44" i="1" s="1"/>
  <c r="K45" i="1" s="1"/>
  <c r="F41" i="1"/>
  <c r="G5" i="1"/>
  <c r="H5" i="1"/>
  <c r="H43" i="1" l="1"/>
  <c r="H44" i="1" s="1"/>
  <c r="H45" i="1" s="1"/>
  <c r="I42" i="1"/>
  <c r="D46" i="1"/>
  <c r="F46" i="1"/>
  <c r="F47" i="1" s="1"/>
  <c r="D22" i="1"/>
  <c r="D23" i="1"/>
  <c r="D11" i="1" l="1"/>
  <c r="D9" i="1" l="1"/>
  <c r="D21" i="1" l="1"/>
  <c r="D10" i="1"/>
  <c r="D12" i="1" s="1"/>
  <c r="D2" i="3"/>
  <c r="D27" i="3" s="1"/>
  <c r="D4" i="3"/>
  <c r="D26" i="1"/>
  <c r="H19" i="1"/>
  <c r="D13" i="1" l="1"/>
  <c r="D14" i="1" s="1"/>
  <c r="D3" i="3"/>
  <c r="D25" i="1"/>
  <c r="C25" i="1" s="1"/>
  <c r="D17" i="3"/>
  <c r="D26" i="3"/>
  <c r="D5" i="3"/>
  <c r="F5" i="3" s="1"/>
  <c r="C8" i="3" s="1"/>
  <c r="D8" i="1" l="1"/>
  <c r="E26" i="1" l="1"/>
  <c r="F26" i="1" s="1"/>
  <c r="D29" i="1"/>
  <c r="F33" i="1"/>
  <c r="D30" i="1" l="1"/>
  <c r="C26" i="1"/>
  <c r="D28" i="1"/>
  <c r="D27" i="1"/>
  <c r="E25" i="1"/>
  <c r="C29" i="1" l="1"/>
  <c r="C30" i="1"/>
  <c r="C28" i="1"/>
  <c r="C27" i="1"/>
  <c r="B38" i="3"/>
  <c r="C16" i="1"/>
  <c r="C17" i="1" l="1"/>
  <c r="H8" i="3" l="1"/>
  <c r="E28" i="1"/>
  <c r="E29" i="1" l="1"/>
  <c r="F27" i="3"/>
  <c r="E38" i="3" s="1"/>
  <c r="C10" i="3"/>
  <c r="N14" i="3"/>
  <c r="D15" i="1"/>
  <c r="C12" i="3"/>
  <c r="E30" i="1"/>
  <c r="F17" i="3"/>
  <c r="C20" i="3" s="1"/>
  <c r="F2" i="3"/>
  <c r="E27" i="1"/>
  <c r="R1" i="3" l="1"/>
  <c r="C7" i="3"/>
  <c r="L1" i="3" s="1"/>
  <c r="M1" i="3"/>
  <c r="C11" i="3"/>
  <c r="E11" i="3" s="1"/>
  <c r="N1" i="3"/>
  <c r="C9" i="3"/>
  <c r="O1" i="3" s="1"/>
  <c r="N2" i="3"/>
  <c r="E39" i="3"/>
  <c r="N13" i="3"/>
  <c r="C22" i="3"/>
  <c r="C32" i="3" s="1"/>
  <c r="G38" i="3" s="1"/>
  <c r="C23" i="3"/>
  <c r="C24" i="3"/>
  <c r="E12" i="3"/>
  <c r="C21" i="3"/>
  <c r="C19" i="3"/>
  <c r="P1" i="3"/>
  <c r="E10" i="3"/>
  <c r="P2" i="3" s="1"/>
  <c r="E32" i="3" l="1"/>
  <c r="G39" i="3" s="1"/>
  <c r="R2" i="3"/>
  <c r="C33" i="3"/>
  <c r="E33" i="3" s="1"/>
  <c r="C34" i="3"/>
  <c r="E34" i="3" s="1"/>
  <c r="Q2" i="3"/>
  <c r="Q1" i="3"/>
  <c r="E7" i="3"/>
  <c r="L2" i="3" s="1"/>
  <c r="E9" i="3"/>
  <c r="O2" i="3" s="1"/>
  <c r="E8" i="3"/>
  <c r="M2" i="3" s="1"/>
  <c r="E19" i="3"/>
  <c r="L14" i="3" s="1"/>
  <c r="C29" i="3"/>
  <c r="M13" i="3"/>
  <c r="C30" i="3"/>
  <c r="O13" i="3"/>
  <c r="C31" i="3"/>
  <c r="R13" i="3"/>
  <c r="E24" i="3"/>
  <c r="Q13" i="3"/>
  <c r="E23" i="3"/>
  <c r="E20" i="3"/>
  <c r="M14" i="3" s="1"/>
  <c r="L13" i="3"/>
  <c r="E21" i="3"/>
  <c r="O14" i="3" s="1"/>
  <c r="P13" i="3"/>
  <c r="E22" i="3"/>
  <c r="P14" i="3" s="1"/>
  <c r="Q14" i="3" l="1"/>
  <c r="R14" i="3"/>
  <c r="H39" i="3"/>
  <c r="I39" i="3"/>
  <c r="I38" i="3"/>
  <c r="H38" i="3"/>
  <c r="D38" i="3"/>
  <c r="E30" i="3"/>
  <c r="D39" i="3" s="1"/>
  <c r="C38" i="3"/>
  <c r="E29" i="3"/>
  <c r="C39" i="3" s="1"/>
  <c r="F38" i="3"/>
  <c r="E31" i="3"/>
  <c r="F39" i="3" s="1"/>
</calcChain>
</file>

<file path=xl/sharedStrings.xml><?xml version="1.0" encoding="utf-8"?>
<sst xmlns="http://schemas.openxmlformats.org/spreadsheetml/2006/main" count="140" uniqueCount="95">
  <si>
    <t>ПОМЕЩЕНИЕ</t>
  </si>
  <si>
    <t>ОКНА</t>
  </si>
  <si>
    <t>ДВЕРИ</t>
  </si>
  <si>
    <t>Ширина</t>
  </si>
  <si>
    <t>Высота</t>
  </si>
  <si>
    <t>Длина</t>
  </si>
  <si>
    <t>Кол-во</t>
  </si>
  <si>
    <t xml:space="preserve">Ширина </t>
  </si>
  <si>
    <t xml:space="preserve"> Высота</t>
  </si>
  <si>
    <t>η</t>
  </si>
  <si>
    <t>φ</t>
  </si>
  <si>
    <t>Понота сгорания</t>
  </si>
  <si>
    <t>Теплопотери</t>
  </si>
  <si>
    <t>Вар горючей нагрузги</t>
  </si>
  <si>
    <t xml:space="preserve">Отност пож. Нагрузка </t>
  </si>
  <si>
    <t>1.</t>
  </si>
  <si>
    <t>1.1.</t>
  </si>
  <si>
    <t>Объем помещения</t>
  </si>
  <si>
    <t>V=</t>
  </si>
  <si>
    <t>м^3</t>
  </si>
  <si>
    <t>Проемность помещения</t>
  </si>
  <si>
    <t>П=</t>
  </si>
  <si>
    <t>Низ.Теп. Сгор.</t>
  </si>
  <si>
    <t>Q</t>
  </si>
  <si>
    <t>Лин. Скор. Распр.</t>
  </si>
  <si>
    <t>Уд.мас. Скорость выгор</t>
  </si>
  <si>
    <t>Дымообр</t>
  </si>
  <si>
    <t>CO2</t>
  </si>
  <si>
    <t>CO</t>
  </si>
  <si>
    <t>HCl</t>
  </si>
  <si>
    <t>O2</t>
  </si>
  <si>
    <t>v</t>
  </si>
  <si>
    <t>Ψ</t>
  </si>
  <si>
    <t>Dm</t>
  </si>
  <si>
    <t>L</t>
  </si>
  <si>
    <t>Кол-во воздуха на 1 кг</t>
  </si>
  <si>
    <t>Vo=</t>
  </si>
  <si>
    <t>Уд. Крит. Пож.наг</t>
  </si>
  <si>
    <t>qк=</t>
  </si>
  <si>
    <t>qкр.к=</t>
  </si>
  <si>
    <t>уд. Крит.кол-во п.н</t>
  </si>
  <si>
    <t>Что больше</t>
  </si>
  <si>
    <t>&lt;&gt;</t>
  </si>
  <si>
    <t>2.</t>
  </si>
  <si>
    <t>Tmax=</t>
  </si>
  <si>
    <t xml:space="preserve">Иаксимальная среднеобъемная </t>
  </si>
  <si>
    <t>Характерная продолжительность пожара</t>
  </si>
  <si>
    <t>tп=</t>
  </si>
  <si>
    <t>площадь проемов</t>
  </si>
  <si>
    <t>А=</t>
  </si>
  <si>
    <t>м^2</t>
  </si>
  <si>
    <t>средняя высота проемов</t>
  </si>
  <si>
    <t>h=</t>
  </si>
  <si>
    <t>м</t>
  </si>
  <si>
    <t>ч</t>
  </si>
  <si>
    <t>tмах=</t>
  </si>
  <si>
    <t>Изменение сред температ</t>
  </si>
  <si>
    <t>мин</t>
  </si>
  <si>
    <t>3.</t>
  </si>
  <si>
    <t>Twmax=</t>
  </si>
  <si>
    <t>С учетом теплопотерь:</t>
  </si>
  <si>
    <t>С учетом поноты сгорания</t>
  </si>
  <si>
    <t>t, мин</t>
  </si>
  <si>
    <t>T,К</t>
  </si>
  <si>
    <t>T2=</t>
  </si>
  <si>
    <t>T3=</t>
  </si>
  <si>
    <t>t1=</t>
  </si>
  <si>
    <t>t2=</t>
  </si>
  <si>
    <t>t3=</t>
  </si>
  <si>
    <t>T1=</t>
  </si>
  <si>
    <t>t4=</t>
  </si>
  <si>
    <t>T4=</t>
  </si>
  <si>
    <t>Макс уср.темп пов покр</t>
  </si>
  <si>
    <t>поверхности перекрытия</t>
  </si>
  <si>
    <t>tmax=</t>
  </si>
  <si>
    <t>изм пов перекрытия</t>
  </si>
  <si>
    <t>4.</t>
  </si>
  <si>
    <t>Поверхности стен</t>
  </si>
  <si>
    <t>время достижения мак темп</t>
  </si>
  <si>
    <t>tmax</t>
  </si>
  <si>
    <t>Изменения средней темп стен</t>
  </si>
  <si>
    <t>С</t>
  </si>
  <si>
    <t>Горючая нагрузка</t>
  </si>
  <si>
    <t>Первая часть</t>
  </si>
  <si>
    <t>Размерный комплекс</t>
  </si>
  <si>
    <t>В=</t>
  </si>
  <si>
    <t>z=</t>
  </si>
  <si>
    <t>A=</t>
  </si>
  <si>
    <t>10^-6</t>
  </si>
  <si>
    <t>по повыш температуре</t>
  </si>
  <si>
    <t>по потере видимости</t>
  </si>
  <si>
    <t>по понижному содержанию кислорода</t>
  </si>
  <si>
    <t>по СО2</t>
  </si>
  <si>
    <t>по СО</t>
  </si>
  <si>
    <t>Лекарственные препараты, этиловый спирт+глицерин(0,95+0,05)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</si>
</sst>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2375246572431E-2"/>
          <c:y val="4.3637695213033192E-2"/>
          <c:w val="0.8865395086483755"/>
          <c:h val="0.83111181140858215"/>
        </c:manualLayout>
      </c:layout>
      <c:scatterChart>
        <c:scatterStyle val="smoothMarker"/>
        <c:varyColors val="0"/>
        <c:ser>
          <c:idx val="0"/>
          <c:order val="0"/>
          <c:tx>
            <c:v>Среднеобъемная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'ПРВ расчет'!$K$1:$R$1</c:f>
              <c:numCache>
                <c:formatCode>General</c:formatCode>
                <c:ptCount val="8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426</c:v>
                </c:pt>
                <c:pt idx="4">
                  <c:v>511</c:v>
                </c:pt>
                <c:pt idx="5">
                  <c:v>596</c:v>
                </c:pt>
                <c:pt idx="6">
                  <c:v>682</c:v>
                </c:pt>
                <c:pt idx="7">
                  <c:v>852</c:v>
                </c:pt>
              </c:numCache>
            </c:numRef>
          </c:xVal>
          <c:yVal>
            <c:numRef>
              <c:f>'ПРВ расчет'!$K$2:$R$2</c:f>
              <c:numCache>
                <c:formatCode>General</c:formatCode>
                <c:ptCount val="8"/>
                <c:pt idx="0">
                  <c:v>20</c:v>
                </c:pt>
                <c:pt idx="1">
                  <c:v>85</c:v>
                </c:pt>
                <c:pt idx="2">
                  <c:v>439</c:v>
                </c:pt>
                <c:pt idx="3">
                  <c:v>1000</c:v>
                </c:pt>
                <c:pt idx="4">
                  <c:v>670</c:v>
                </c:pt>
                <c:pt idx="5">
                  <c:v>544</c:v>
                </c:pt>
                <c:pt idx="6">
                  <c:v>401</c:v>
                </c:pt>
                <c:pt idx="7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F-4C0A-B9B9-9308F00444F2}"/>
            </c:ext>
          </c:extLst>
        </c:ser>
        <c:ser>
          <c:idx val="1"/>
          <c:order val="1"/>
          <c:tx>
            <c:v>Поверхности перекрытия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63500" cap="sq">
                <a:solidFill>
                  <a:schemeClr val="accent2">
                    <a:alpha val="60000"/>
                  </a:schemeClr>
                </a:solidFill>
                <a:prstDash val="lgDashDot"/>
              </a:ln>
              <a:effectLst/>
            </c:spPr>
          </c:marker>
          <c:dPt>
            <c:idx val="2"/>
            <c:marker>
              <c:spPr>
                <a:solidFill>
                  <a:schemeClr val="lt1"/>
                </a:solidFill>
                <a:ln w="63500" cap="flat">
                  <a:solidFill>
                    <a:schemeClr val="accent2">
                      <a:alpha val="60000"/>
                    </a:schemeClr>
                  </a:solidFill>
                  <a:prstDash val="lgDashDot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9F-4C0A-B9B9-9308F00444F2}"/>
              </c:ext>
            </c:extLst>
          </c:dPt>
          <c:dPt>
            <c:idx val="3"/>
            <c:bubble3D val="0"/>
            <c:spPr>
              <a:ln w="19050" cap="flat">
                <a:solidFill>
                  <a:schemeClr val="accent2"/>
                </a:solidFill>
                <a:prstDash val="lgDashDot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F-4C0A-B9B9-9308F00444F2}"/>
              </c:ext>
            </c:extLst>
          </c:dPt>
          <c:xVal>
            <c:numRef>
              <c:f>'ПРВ расчет'!$K$13:$R$13</c:f>
              <c:numCache>
                <c:formatCode>General</c:formatCode>
                <c:ptCount val="8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426</c:v>
                </c:pt>
                <c:pt idx="4">
                  <c:v>511</c:v>
                </c:pt>
                <c:pt idx="5">
                  <c:v>596</c:v>
                </c:pt>
                <c:pt idx="6">
                  <c:v>767</c:v>
                </c:pt>
                <c:pt idx="7">
                  <c:v>852</c:v>
                </c:pt>
              </c:numCache>
            </c:numRef>
          </c:xVal>
          <c:yVal>
            <c:numRef>
              <c:f>'ПРВ расчет'!$K$14:$R$14</c:f>
              <c:numCache>
                <c:formatCode>General</c:formatCode>
                <c:ptCount val="8"/>
                <c:pt idx="0">
                  <c:v>20</c:v>
                </c:pt>
                <c:pt idx="1">
                  <c:v>41</c:v>
                </c:pt>
                <c:pt idx="2">
                  <c:v>339</c:v>
                </c:pt>
                <c:pt idx="3">
                  <c:v>980</c:v>
                </c:pt>
                <c:pt idx="4">
                  <c:v>628</c:v>
                </c:pt>
                <c:pt idx="5">
                  <c:v>463</c:v>
                </c:pt>
                <c:pt idx="6">
                  <c:v>177</c:v>
                </c:pt>
                <c:pt idx="7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9F-4C0A-B9B9-9308F00444F2}"/>
            </c:ext>
          </c:extLst>
        </c:ser>
        <c:ser>
          <c:idx val="2"/>
          <c:order val="2"/>
          <c:tx>
            <c:v>поверхности стен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'ПРВ расчет'!$B$38:$I$38</c:f>
              <c:numCache>
                <c:formatCode>General</c:formatCode>
                <c:ptCount val="8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469</c:v>
                </c:pt>
                <c:pt idx="4">
                  <c:v>511</c:v>
                </c:pt>
                <c:pt idx="5">
                  <c:v>596</c:v>
                </c:pt>
                <c:pt idx="6">
                  <c:v>767</c:v>
                </c:pt>
                <c:pt idx="7">
                  <c:v>852</c:v>
                </c:pt>
              </c:numCache>
            </c:numRef>
          </c:xVal>
          <c:yVal>
            <c:numRef>
              <c:f>'ПРВ расчет'!$B$39:$I$39</c:f>
              <c:numCache>
                <c:formatCode>General</c:formatCode>
                <c:ptCount val="8"/>
                <c:pt idx="0">
                  <c:v>20</c:v>
                </c:pt>
                <c:pt idx="1">
                  <c:v>45</c:v>
                </c:pt>
                <c:pt idx="2">
                  <c:v>264</c:v>
                </c:pt>
                <c:pt idx="3">
                  <c:v>850</c:v>
                </c:pt>
                <c:pt idx="4">
                  <c:v>566</c:v>
                </c:pt>
                <c:pt idx="5">
                  <c:v>491</c:v>
                </c:pt>
                <c:pt idx="6">
                  <c:v>275</c:v>
                </c:pt>
                <c:pt idx="7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9F-4C0A-B9B9-9308F004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09728"/>
        <c:axId val="221212032"/>
      </c:scatterChart>
      <c:valAx>
        <c:axId val="2212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t,мин</a:t>
                </a:r>
              </a:p>
            </c:rich>
          </c:tx>
          <c:layout>
            <c:manualLayout>
              <c:xMode val="edge"/>
              <c:yMode val="edge"/>
              <c:x val="0.84820083790422507"/>
              <c:y val="0.923593151773459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212032"/>
        <c:crosses val="autoZero"/>
        <c:crossBetween val="midCat"/>
      </c:valAx>
      <c:valAx>
        <c:axId val="221212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7.6833675607181559E-2"/>
              <c:y val="2.447855013442274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2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0</xdr:rowOff>
    </xdr:from>
    <xdr:to>
      <xdr:col>27</xdr:col>
      <xdr:colOff>0</xdr:colOff>
      <xdr:row>27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A16" workbookViewId="0">
      <selection activeCell="B43" sqref="B43"/>
    </sheetView>
  </sheetViews>
  <sheetFormatPr defaultRowHeight="15" x14ac:dyDescent="0.25"/>
  <cols>
    <col min="1" max="1" width="15" customWidth="1"/>
    <col min="2" max="2" width="39.85546875" customWidth="1"/>
    <col min="3" max="3" width="12" bestFit="1" customWidth="1"/>
    <col min="4" max="4" width="11" customWidth="1"/>
    <col min="6" max="6" width="12" bestFit="1" customWidth="1"/>
    <col min="11" max="11" width="17.5703125" customWidth="1"/>
    <col min="12" max="12" width="17" customWidth="1"/>
    <col min="13" max="14" width="21.28515625" customWidth="1"/>
    <col min="15" max="15" width="8.140625" customWidth="1"/>
    <col min="16" max="16" width="14.7109375" customWidth="1"/>
    <col min="17" max="17" width="18.28515625" customWidth="1"/>
    <col min="18" max="18" width="23.85546875" customWidth="1"/>
    <col min="19" max="19" width="15.42578125" customWidth="1"/>
    <col min="20" max="20" width="11.42578125" customWidth="1"/>
    <col min="21" max="21" width="10.42578125" customWidth="1"/>
    <col min="22" max="22" width="10.5703125" customWidth="1"/>
    <col min="23" max="23" width="15.85546875" customWidth="1"/>
  </cols>
  <sheetData>
    <row r="1" spans="1:23" ht="15.75" thickBot="1" x14ac:dyDescent="0.3">
      <c r="A1" s="24" t="s">
        <v>0</v>
      </c>
      <c r="B1" s="25"/>
      <c r="C1" s="26"/>
      <c r="D1" s="24" t="s">
        <v>1</v>
      </c>
      <c r="E1" s="25"/>
      <c r="F1" s="26"/>
      <c r="G1" s="24" t="s">
        <v>2</v>
      </c>
      <c r="H1" s="25"/>
      <c r="I1" s="26"/>
      <c r="K1" s="11" t="s">
        <v>11</v>
      </c>
      <c r="L1" s="11" t="s">
        <v>12</v>
      </c>
      <c r="M1" s="11" t="s">
        <v>13</v>
      </c>
      <c r="N1" s="14" t="s">
        <v>14</v>
      </c>
      <c r="P1" s="17" t="s">
        <v>22</v>
      </c>
      <c r="Q1" s="17" t="s">
        <v>24</v>
      </c>
      <c r="R1" s="17" t="s">
        <v>25</v>
      </c>
      <c r="S1" s="17" t="s">
        <v>26</v>
      </c>
      <c r="T1" s="17" t="s">
        <v>30</v>
      </c>
      <c r="U1" s="17" t="s">
        <v>27</v>
      </c>
      <c r="V1" s="17" t="s">
        <v>28</v>
      </c>
      <c r="W1" s="16" t="s">
        <v>29</v>
      </c>
    </row>
    <row r="2" spans="1:23" x14ac:dyDescent="0.25">
      <c r="A2" s="4" t="s">
        <v>3</v>
      </c>
      <c r="B2" s="3" t="s">
        <v>5</v>
      </c>
      <c r="C2" s="5" t="s">
        <v>4</v>
      </c>
      <c r="D2" s="4" t="s">
        <v>6</v>
      </c>
      <c r="E2" s="3" t="s">
        <v>7</v>
      </c>
      <c r="F2" s="5" t="s">
        <v>4</v>
      </c>
      <c r="G2" s="1" t="s">
        <v>6</v>
      </c>
      <c r="H2" s="3" t="s">
        <v>3</v>
      </c>
      <c r="I2" s="5" t="s">
        <v>8</v>
      </c>
      <c r="K2" s="15" t="s">
        <v>9</v>
      </c>
      <c r="L2" s="15" t="s">
        <v>10</v>
      </c>
      <c r="M2" s="15"/>
      <c r="N2" s="15"/>
      <c r="P2" s="15" t="s">
        <v>23</v>
      </c>
      <c r="Q2" s="15" t="s">
        <v>31</v>
      </c>
      <c r="R2" s="15" t="s">
        <v>32</v>
      </c>
      <c r="S2" s="15" t="s">
        <v>33</v>
      </c>
      <c r="T2" s="15" t="s">
        <v>34</v>
      </c>
      <c r="U2" s="15" t="s">
        <v>34</v>
      </c>
      <c r="V2" s="15" t="s">
        <v>34</v>
      </c>
      <c r="W2" s="15" t="s">
        <v>34</v>
      </c>
    </row>
    <row r="3" spans="1:23" ht="15.75" thickBot="1" x14ac:dyDescent="0.3">
      <c r="A3" s="6">
        <v>31</v>
      </c>
      <c r="B3" s="7">
        <v>24</v>
      </c>
      <c r="C3" s="8">
        <v>3.5</v>
      </c>
      <c r="D3" s="6">
        <v>0</v>
      </c>
      <c r="E3" s="7">
        <v>0</v>
      </c>
      <c r="F3" s="8">
        <v>0</v>
      </c>
      <c r="G3" s="9">
        <v>1</v>
      </c>
      <c r="H3" s="7">
        <v>1.5</v>
      </c>
      <c r="I3" s="8">
        <v>2</v>
      </c>
      <c r="K3" s="10">
        <v>0.89</v>
      </c>
      <c r="L3" s="10">
        <v>0.24</v>
      </c>
      <c r="M3" s="10">
        <v>10</v>
      </c>
      <c r="N3" s="2">
        <v>50</v>
      </c>
      <c r="P3" s="18">
        <v>26600</v>
      </c>
      <c r="Q3" s="10">
        <v>0.5</v>
      </c>
      <c r="R3" s="18">
        <v>3.3000000000000002E-2</v>
      </c>
      <c r="S3" s="10">
        <v>88.1</v>
      </c>
      <c r="T3" s="18">
        <v>1.9119999999999999</v>
      </c>
      <c r="U3" s="10">
        <v>0.26200000000000001</v>
      </c>
      <c r="V3" s="18">
        <v>-2.3039999999999998</v>
      </c>
      <c r="W3" s="2">
        <v>0</v>
      </c>
    </row>
    <row r="4" spans="1:23" ht="30" x14ac:dyDescent="0.25">
      <c r="A4" t="s">
        <v>82</v>
      </c>
      <c r="B4" s="23" t="s">
        <v>94</v>
      </c>
    </row>
    <row r="5" spans="1:23" x14ac:dyDescent="0.25">
      <c r="F5" t="s">
        <v>49</v>
      </c>
      <c r="G5">
        <f>D3*E3*F3+G3*H3*I3</f>
        <v>3</v>
      </c>
      <c r="H5">
        <f>ROUND((A3*B3*C3)^0.667,1)</f>
        <v>189.8</v>
      </c>
    </row>
    <row r="8" spans="1:23" ht="21" x14ac:dyDescent="0.35">
      <c r="A8" s="12" t="s">
        <v>15</v>
      </c>
      <c r="D8">
        <f>D9^0.667</f>
        <v>189.77217433149295</v>
      </c>
    </row>
    <row r="9" spans="1:23" x14ac:dyDescent="0.25">
      <c r="A9" s="13" t="s">
        <v>16</v>
      </c>
      <c r="B9" t="s">
        <v>17</v>
      </c>
      <c r="C9" t="s">
        <v>18</v>
      </c>
      <c r="D9">
        <f>A3*B3*C3</f>
        <v>2604</v>
      </c>
      <c r="E9" t="s">
        <v>19</v>
      </c>
    </row>
    <row r="10" spans="1:23" x14ac:dyDescent="0.25">
      <c r="B10" t="s">
        <v>20</v>
      </c>
      <c r="C10" t="s">
        <v>21</v>
      </c>
      <c r="D10">
        <f>ROUND(IF(D9&lt;=10,((E3*F3*F3^0.5)*D3+G3*(I3*H3*I3^0.5))/(D9^0.0667),((E3*F3*F3^0.5)*D3+G3*(H3*I3*I3^0.5))/(B3*A3)),3)</f>
        <v>6.0000000000000001E-3</v>
      </c>
    </row>
    <row r="11" spans="1:23" x14ac:dyDescent="0.25">
      <c r="B11" t="s">
        <v>35</v>
      </c>
      <c r="C11" t="s">
        <v>36</v>
      </c>
      <c r="D11">
        <f>T3</f>
        <v>1.9119999999999999</v>
      </c>
    </row>
    <row r="12" spans="1:23" x14ac:dyDescent="0.25">
      <c r="B12" t="s">
        <v>37</v>
      </c>
      <c r="C12" t="s">
        <v>39</v>
      </c>
      <c r="D12">
        <f>ROUND((4500*D10^3)/(1+500*D10^3)+(D9^0.333)/6/D11,2)</f>
        <v>1.2</v>
      </c>
    </row>
    <row r="13" spans="1:23" x14ac:dyDescent="0.25">
      <c r="B13" t="s">
        <v>40</v>
      </c>
      <c r="C13" t="s">
        <v>38</v>
      </c>
      <c r="D13">
        <f>ROUND(N3/(6*D9^0.667-G5),3)</f>
        <v>4.3999999999999997E-2</v>
      </c>
    </row>
    <row r="14" spans="1:23" x14ac:dyDescent="0.25">
      <c r="B14" t="s">
        <v>41</v>
      </c>
      <c r="C14" t="s">
        <v>42</v>
      </c>
      <c r="D14" t="str">
        <f>IF(D12&lt;=D13,"≤","&gt;")</f>
        <v>&gt;</v>
      </c>
    </row>
    <row r="15" spans="1:23" x14ac:dyDescent="0.25">
      <c r="D15" t="str">
        <f>IF(D12&lt;=D13,"пожар, регулируемый вентиляцией (ПРВ)","пожар, регулируемый нагрузкой(ПРН)")</f>
        <v>пожар, регулируемый нагрузкой(ПРН)</v>
      </c>
    </row>
    <row r="16" spans="1:23" x14ac:dyDescent="0.25">
      <c r="B16" t="s">
        <v>60</v>
      </c>
      <c r="C16">
        <f>P3*(1-L3)</f>
        <v>20216</v>
      </c>
    </row>
    <row r="17" spans="1:8" x14ac:dyDescent="0.25">
      <c r="B17" t="s">
        <v>61</v>
      </c>
      <c r="C17">
        <f>ROUND(C16*K3,0)</f>
        <v>17992</v>
      </c>
    </row>
    <row r="19" spans="1:8" x14ac:dyDescent="0.25">
      <c r="H19">
        <f>50/293</f>
        <v>0.17064846416382254</v>
      </c>
    </row>
    <row r="20" spans="1:8" x14ac:dyDescent="0.25">
      <c r="A20" t="s">
        <v>83</v>
      </c>
    </row>
    <row r="21" spans="1:8" x14ac:dyDescent="0.25">
      <c r="B21" t="s">
        <v>84</v>
      </c>
      <c r="C21" t="s">
        <v>85</v>
      </c>
      <c r="D21">
        <f>ROUND((353*0.001051*D9)/((1-L3)*K3*P3/1000),3)</f>
        <v>53.695</v>
      </c>
    </row>
    <row r="22" spans="1:8" x14ac:dyDescent="0.25">
      <c r="C22" t="s">
        <v>86</v>
      </c>
      <c r="D22">
        <f>ROUND(1.7/C3*EXP(1.4*1.7/C3),2)</f>
        <v>0.96</v>
      </c>
    </row>
    <row r="23" spans="1:8" x14ac:dyDescent="0.25">
      <c r="C23" t="s">
        <v>87</v>
      </c>
      <c r="D23" s="22">
        <f>ROUND(1.05*R3*Q3^2*1000000,3)</f>
        <v>8662.5</v>
      </c>
      <c r="E23" t="s">
        <v>88</v>
      </c>
    </row>
    <row r="25" spans="1:8" x14ac:dyDescent="0.25">
      <c r="B25" t="s">
        <v>89</v>
      </c>
      <c r="C25">
        <f>IF(D25&lt;=0,"не существует",ROUND((LN(0.17/D22+1)*D21/D23*1000000)^(1/3),0))</f>
        <v>10</v>
      </c>
      <c r="D25">
        <f>LN(1+((70-20)/(273+20)/D22))</f>
        <v>0.16361332474049969</v>
      </c>
      <c r="E25" t="str">
        <f>IF(D25&lt;=0,"Натуральный логарифм не существует,поэтому фактор не представляет опасности","")</f>
        <v/>
      </c>
    </row>
    <row r="26" spans="1:8" x14ac:dyDescent="0.25">
      <c r="B26" t="s">
        <v>90</v>
      </c>
      <c r="C26">
        <f>ROUND(D46,0)</f>
        <v>8</v>
      </c>
      <c r="D26">
        <f>1.05*L3*50</f>
        <v>12.6</v>
      </c>
      <c r="E26">
        <f>D43</f>
        <v>1.0783315953410502</v>
      </c>
      <c r="F26" t="str">
        <f>IF(OR(D26&lt;=0,E26&lt;=0),"Натуральный логарифм не существует,поэтому фактор не представляет опасности","")</f>
        <v/>
      </c>
    </row>
    <row r="27" spans="1:8" x14ac:dyDescent="0.25">
      <c r="B27" t="s">
        <v>91</v>
      </c>
      <c r="C27">
        <f>ROUND(F47,0)</f>
        <v>4</v>
      </c>
      <c r="D27">
        <f>F44</f>
        <v>1.1738795122643988</v>
      </c>
      <c r="E27" t="str">
        <f>IF(D27&lt;=0,"Натуральный логарифм не существует,поэтому фактор не представляет опасности","")</f>
        <v/>
      </c>
    </row>
    <row r="28" spans="1:8" x14ac:dyDescent="0.25">
      <c r="B28" t="s">
        <v>92</v>
      </c>
      <c r="C28" t="e">
        <f>ROUND(H45,0)</f>
        <v>#NUM!</v>
      </c>
      <c r="D28">
        <f>H42</f>
        <v>-4.948205444602103E-2</v>
      </c>
      <c r="E28" t="str">
        <f>IF(D28&lt;=0,"Натуральный логарифм не существует,поэтому фактор не представляет опасности","")</f>
        <v>Натуральный логарифм не существует,поэтому фактор не представляет опасности</v>
      </c>
    </row>
    <row r="29" spans="1:8" x14ac:dyDescent="0.25">
      <c r="B29" t="s">
        <v>93</v>
      </c>
      <c r="C29">
        <f>ROUND(J45,0)</f>
        <v>-2</v>
      </c>
      <c r="D29">
        <f>J42</f>
        <v>0.97519702462041158</v>
      </c>
      <c r="E29" t="str">
        <f>IF(D29&lt;=0,"Натуральный логарифм не существует,поэтому фактор не представляет опасности","")</f>
        <v/>
      </c>
    </row>
    <row r="30" spans="1:8" x14ac:dyDescent="0.25">
      <c r="B30" t="s">
        <v>29</v>
      </c>
      <c r="C30" t="e">
        <f>ROUND(K45,0)</f>
        <v>#DIV/0!</v>
      </c>
      <c r="D30" t="e">
        <f>K42</f>
        <v>#DIV/0!</v>
      </c>
      <c r="E30" t="str">
        <f>IF(W3=0,"Фактор не представляет опасности",IF(D30&lt;=0,"Натуральный логарифм не существует,поэтому фактор не представляет опасности",""))</f>
        <v>Фактор не представляет опасности</v>
      </c>
    </row>
    <row r="33" spans="4:11" x14ac:dyDescent="0.25">
      <c r="F33" t="e">
        <f>((LN((1-(D9*0.11/D21/U3/D22))^(-1))*D21/D23*1000000))^(1/3)</f>
        <v>#NUM!</v>
      </c>
    </row>
    <row r="40" spans="4:11" x14ac:dyDescent="0.25">
      <c r="D40">
        <f>LN(1.05*L3*50)*D9</f>
        <v>6597.7465035451532</v>
      </c>
      <c r="F40">
        <f>0.044/D22</f>
        <v>4.583333333333333E-2</v>
      </c>
      <c r="H40">
        <f>D9*0.11/D21/U3/D22</f>
        <v>21.209346826754732</v>
      </c>
      <c r="J40">
        <f>D9*1.16/1000/D21/V3/D22</f>
        <v>-2.5433809531199884E-2</v>
      </c>
      <c r="K40" t="e">
        <f>D9*23/1000000/D21/W3/D22</f>
        <v>#DIV/0!</v>
      </c>
    </row>
    <row r="41" spans="4:11" x14ac:dyDescent="0.25">
      <c r="D41">
        <f>D40/20/D21/S3/D22</f>
        <v>7.2641472882259112E-2</v>
      </c>
      <c r="F41">
        <f>D21*T3/D9+0.27</f>
        <v>0.30942582181259604</v>
      </c>
      <c r="H41">
        <f>1-H40</f>
        <v>-20.209346826754732</v>
      </c>
      <c r="J41">
        <f>1-J40</f>
        <v>1.0254338095311999</v>
      </c>
      <c r="K41" t="e">
        <f>1-K40</f>
        <v>#DIV/0!</v>
      </c>
    </row>
    <row r="42" spans="4:11" x14ac:dyDescent="0.25">
      <c r="D42">
        <f>1-D41</f>
        <v>0.92735852711774092</v>
      </c>
      <c r="F42">
        <f>F40/F41</f>
        <v>0.14812381547488407</v>
      </c>
      <c r="H42">
        <f>H41^-1</f>
        <v>-4.948205444602103E-2</v>
      </c>
      <c r="I42">
        <f>IFERROR(H42,"логарифм не существует")</f>
        <v>-4.948205444602103E-2</v>
      </c>
      <c r="J42">
        <f>J41^-1</f>
        <v>0.97519702462041158</v>
      </c>
      <c r="K42" t="e">
        <f>K41^-1</f>
        <v>#DIV/0!</v>
      </c>
    </row>
    <row r="43" spans="4:11" x14ac:dyDescent="0.25">
      <c r="D43">
        <f>D42^-1</f>
        <v>1.0783315953410502</v>
      </c>
      <c r="F43">
        <f>1-F42</f>
        <v>0.85187618452511593</v>
      </c>
      <c r="H43" t="e">
        <f>LN(H42)</f>
        <v>#NUM!</v>
      </c>
      <c r="J43">
        <f>LN(J42)</f>
        <v>-2.511575186524698E-2</v>
      </c>
      <c r="K43" t="e">
        <f>LN(K42)</f>
        <v>#DIV/0!</v>
      </c>
    </row>
    <row r="44" spans="4:11" x14ac:dyDescent="0.25">
      <c r="D44">
        <f>LN(D43)</f>
        <v>7.5415027544089186E-2</v>
      </c>
      <c r="F44">
        <f>F43^-1</f>
        <v>1.1738795122643988</v>
      </c>
      <c r="H44" t="e">
        <f>H43*D45</f>
        <v>#NUM!</v>
      </c>
      <c r="J44">
        <f>J43*D45</f>
        <v>-11.740718539570793</v>
      </c>
      <c r="K44" t="e">
        <f>K43*D45</f>
        <v>#DIV/0!</v>
      </c>
    </row>
    <row r="45" spans="4:11" x14ac:dyDescent="0.25">
      <c r="D45">
        <f>D21*1000000/D23*D44</f>
        <v>467.46434677978283</v>
      </c>
      <c r="F45">
        <f>LN(F44)</f>
        <v>0.16031408604060798</v>
      </c>
      <c r="H45" t="e">
        <f>H44^(1/3)</f>
        <v>#NUM!</v>
      </c>
      <c r="J45">
        <f>J44^(1/3)</f>
        <v>-2.2728192145189845</v>
      </c>
      <c r="K45" t="e">
        <f>K44^(1/3)</f>
        <v>#DIV/0!</v>
      </c>
    </row>
    <row r="46" spans="4:11" x14ac:dyDescent="0.25">
      <c r="D46">
        <f>D45^(1/3)</f>
        <v>7.7609728537041125</v>
      </c>
      <c r="F46">
        <f>D45*F45</f>
        <v>74.941119510570715</v>
      </c>
    </row>
    <row r="47" spans="4:11" x14ac:dyDescent="0.25">
      <c r="F47">
        <f>F46^(1/3)</f>
        <v>4.2160594436235161</v>
      </c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"/>
  <sheetViews>
    <sheetView tabSelected="1" workbookViewId="0">
      <selection activeCell="G12" sqref="G12"/>
    </sheetView>
  </sheetViews>
  <sheetFormatPr defaultRowHeight="15" x14ac:dyDescent="0.25"/>
  <cols>
    <col min="1" max="1" width="9.140625" customWidth="1"/>
  </cols>
  <sheetData>
    <row r="1" spans="1:18" ht="21" x14ac:dyDescent="0.35">
      <c r="A1" s="12" t="s">
        <v>43</v>
      </c>
      <c r="B1" t="s">
        <v>45</v>
      </c>
      <c r="C1" t="s">
        <v>44</v>
      </c>
      <c r="D1">
        <v>1000</v>
      </c>
      <c r="E1" t="s">
        <v>81</v>
      </c>
      <c r="J1" t="s">
        <v>62</v>
      </c>
      <c r="K1">
        <v>0</v>
      </c>
      <c r="L1">
        <f>C7</f>
        <v>128</v>
      </c>
      <c r="M1">
        <f>C8</f>
        <v>256</v>
      </c>
      <c r="N1">
        <f>F5</f>
        <v>426</v>
      </c>
      <c r="O1">
        <f>C9</f>
        <v>511</v>
      </c>
      <c r="P1">
        <f>C10</f>
        <v>596</v>
      </c>
      <c r="Q1">
        <f>C11</f>
        <v>682</v>
      </c>
      <c r="R1">
        <f>C12</f>
        <v>852</v>
      </c>
    </row>
    <row r="2" spans="1:18" x14ac:dyDescent="0.25">
      <c r="B2" t="s">
        <v>46</v>
      </c>
      <c r="C2" t="s">
        <v>47</v>
      </c>
      <c r="D2">
        <f>ROUND(РЕЖИМ!P3*РЕЖИМ!N3/10/6285/РЕЖИМ!G5/SQRT(AVERAGE(РЕЖИМ!F3,РЕЖИМ!I3)),1)</f>
        <v>7.1</v>
      </c>
      <c r="E2" t="s">
        <v>54</v>
      </c>
      <c r="F2">
        <f>D2*60</f>
        <v>426</v>
      </c>
      <c r="G2" t="s">
        <v>57</v>
      </c>
      <c r="J2" t="s">
        <v>63</v>
      </c>
      <c r="K2">
        <v>20</v>
      </c>
      <c r="L2">
        <f>E7</f>
        <v>85</v>
      </c>
      <c r="M2">
        <f>E8</f>
        <v>439</v>
      </c>
      <c r="N2">
        <f>D1</f>
        <v>1000</v>
      </c>
      <c r="O2">
        <f>E9</f>
        <v>670</v>
      </c>
      <c r="P2">
        <f>E10</f>
        <v>544</v>
      </c>
      <c r="Q2">
        <f>E11</f>
        <v>401</v>
      </c>
      <c r="R2">
        <f>E12</f>
        <v>185</v>
      </c>
    </row>
    <row r="3" spans="1:18" x14ac:dyDescent="0.25">
      <c r="B3" t="s">
        <v>48</v>
      </c>
      <c r="C3" t="s">
        <v>49</v>
      </c>
      <c r="D3">
        <f>РЕЖИМ!G5</f>
        <v>3</v>
      </c>
      <c r="E3" t="s">
        <v>50</v>
      </c>
    </row>
    <row r="4" spans="1:18" x14ac:dyDescent="0.25">
      <c r="B4" t="s">
        <v>51</v>
      </c>
      <c r="C4" t="s">
        <v>52</v>
      </c>
      <c r="D4">
        <f>AVERAGE(РЕЖИМ!F3,РЕЖИМ!I3)</f>
        <v>1</v>
      </c>
      <c r="E4" t="s">
        <v>53</v>
      </c>
    </row>
    <row r="5" spans="1:18" x14ac:dyDescent="0.25">
      <c r="C5" t="s">
        <v>55</v>
      </c>
      <c r="D5">
        <f>D2</f>
        <v>7.1</v>
      </c>
      <c r="E5" t="s">
        <v>54</v>
      </c>
      <c r="F5">
        <f>ROUND(D5*60,0)</f>
        <v>426</v>
      </c>
    </row>
    <row r="6" spans="1:18" x14ac:dyDescent="0.25">
      <c r="B6" t="s">
        <v>56</v>
      </c>
      <c r="E6" s="20"/>
    </row>
    <row r="7" spans="1:18" x14ac:dyDescent="0.25">
      <c r="B7" s="19" t="s">
        <v>66</v>
      </c>
      <c r="C7" s="21">
        <f>ROUND(F5/100*30,0)</f>
        <v>128</v>
      </c>
      <c r="D7" s="19" t="s">
        <v>69</v>
      </c>
      <c r="E7" s="20">
        <f>ROUND(20+(D1-293)*115.6*(C7/F5)^4.75*EXP(-4.75*C7/F5),0)</f>
        <v>85</v>
      </c>
    </row>
    <row r="8" spans="1:18" x14ac:dyDescent="0.25">
      <c r="B8" s="19" t="s">
        <v>67</v>
      </c>
      <c r="C8" s="20">
        <f>ROUND(F5/100*60,0)</f>
        <v>256</v>
      </c>
      <c r="D8" s="19" t="s">
        <v>64</v>
      </c>
      <c r="E8" s="20">
        <f>ROUND(20+(D1-293)*115.6*(C8/F5)^4.75*EXP(-4.75*C8/F5),0)</f>
        <v>439</v>
      </c>
      <c r="H8">
        <f>ROUND(РЕЖИМ!C17*РЕЖИМ!N3/6285/D3/10/SQRT(D4),1)</f>
        <v>4.8</v>
      </c>
    </row>
    <row r="9" spans="1:18" x14ac:dyDescent="0.25">
      <c r="B9" s="19" t="s">
        <v>68</v>
      </c>
      <c r="C9" s="20">
        <f>ROUND(F5/100*120,0)</f>
        <v>511</v>
      </c>
      <c r="D9" s="19" t="s">
        <v>65</v>
      </c>
      <c r="E9" s="20">
        <f>ROUND(20+(D1-293)*115.6*(C9/F5)^4.75*EXP(-4.75*C9/F5),0)</f>
        <v>670</v>
      </c>
    </row>
    <row r="10" spans="1:18" x14ac:dyDescent="0.25">
      <c r="B10" s="19" t="s">
        <v>70</v>
      </c>
      <c r="C10" s="20">
        <f>ROUND(F5/100*140,0)</f>
        <v>596</v>
      </c>
      <c r="D10" s="19" t="s">
        <v>71</v>
      </c>
      <c r="E10" s="20">
        <f>ROUND(20+(D1-293)*115.6*(C10/F5)^4.75*EXP(-4.75*C10/F5),0)</f>
        <v>544</v>
      </c>
    </row>
    <row r="11" spans="1:18" x14ac:dyDescent="0.25">
      <c r="B11" s="19" t="s">
        <v>70</v>
      </c>
      <c r="C11" s="20">
        <f>ROUND(F5/100*160,0)</f>
        <v>682</v>
      </c>
      <c r="D11" s="19" t="s">
        <v>71</v>
      </c>
      <c r="E11" s="20">
        <f>ROUND(20+(D1-293)*115.6*(C11/F5)^4.75*EXP(-4.75*C11/F5),0)</f>
        <v>401</v>
      </c>
    </row>
    <row r="12" spans="1:18" x14ac:dyDescent="0.25">
      <c r="B12" s="19" t="s">
        <v>70</v>
      </c>
      <c r="C12" s="20">
        <f>ROUND(F5/100*200,0)</f>
        <v>852</v>
      </c>
      <c r="D12" s="19" t="s">
        <v>71</v>
      </c>
      <c r="E12" s="20">
        <f>ROUND(20+(D1-293)*115.6*(C12/F5)^4.75*EXP(-4.75*C12/F5),0)</f>
        <v>185</v>
      </c>
    </row>
    <row r="13" spans="1:18" x14ac:dyDescent="0.25">
      <c r="J13" t="s">
        <v>62</v>
      </c>
      <c r="K13">
        <v>0</v>
      </c>
      <c r="L13">
        <f>C19</f>
        <v>128</v>
      </c>
      <c r="M13">
        <f>C20</f>
        <v>256</v>
      </c>
      <c r="N13">
        <f>F17</f>
        <v>426</v>
      </c>
      <c r="O13">
        <f>C21</f>
        <v>511</v>
      </c>
      <c r="P13">
        <f>C22</f>
        <v>596</v>
      </c>
      <c r="Q13">
        <f>C23</f>
        <v>767</v>
      </c>
      <c r="R13">
        <f>C24</f>
        <v>852</v>
      </c>
    </row>
    <row r="14" spans="1:18" x14ac:dyDescent="0.25">
      <c r="K14">
        <v>20</v>
      </c>
      <c r="L14">
        <f>E19</f>
        <v>41</v>
      </c>
      <c r="M14">
        <f>E20</f>
        <v>339</v>
      </c>
      <c r="N14">
        <f>D16</f>
        <v>980</v>
      </c>
      <c r="O14">
        <f>E21</f>
        <v>628</v>
      </c>
      <c r="P14">
        <f>E22</f>
        <v>463</v>
      </c>
      <c r="Q14">
        <f>E23</f>
        <v>177</v>
      </c>
      <c r="R14">
        <f>E24</f>
        <v>101</v>
      </c>
    </row>
    <row r="15" spans="1:18" ht="21" x14ac:dyDescent="0.35">
      <c r="A15" s="12" t="s">
        <v>58</v>
      </c>
    </row>
    <row r="16" spans="1:18" x14ac:dyDescent="0.25">
      <c r="B16" s="19" t="s">
        <v>72</v>
      </c>
      <c r="C16" t="s">
        <v>59</v>
      </c>
      <c r="D16">
        <v>980</v>
      </c>
      <c r="E16" t="s">
        <v>81</v>
      </c>
    </row>
    <row r="17" spans="1:7" x14ac:dyDescent="0.25">
      <c r="B17" t="s">
        <v>73</v>
      </c>
      <c r="C17" t="s">
        <v>74</v>
      </c>
      <c r="D17">
        <f>D2</f>
        <v>7.1</v>
      </c>
      <c r="E17" t="s">
        <v>54</v>
      </c>
      <c r="F17">
        <f>D17*60</f>
        <v>426</v>
      </c>
      <c r="G17" t="s">
        <v>57</v>
      </c>
    </row>
    <row r="18" spans="1:7" x14ac:dyDescent="0.25">
      <c r="B18" s="19" t="s">
        <v>75</v>
      </c>
    </row>
    <row r="19" spans="1:7" x14ac:dyDescent="0.25">
      <c r="B19" s="19" t="s">
        <v>66</v>
      </c>
      <c r="C19" s="21">
        <f>ROUND(F17/100*30,0)</f>
        <v>128</v>
      </c>
      <c r="D19" s="19" t="s">
        <v>69</v>
      </c>
      <c r="E19">
        <f>ROUND(20+(D16-293)*1043*(C19/F17)^6.95*EXP(-6.95*(C19/F17)),0)</f>
        <v>41</v>
      </c>
    </row>
    <row r="20" spans="1:7" x14ac:dyDescent="0.25">
      <c r="B20" s="19" t="s">
        <v>67</v>
      </c>
      <c r="C20" s="20">
        <f>ROUND(F17/100*60,0)</f>
        <v>256</v>
      </c>
      <c r="D20" s="19" t="s">
        <v>64</v>
      </c>
      <c r="E20">
        <f>ROUND(20+(D16-293)*1043*(C20/F17)^6.95*EXP(-6.95*(C20/F17)),0)</f>
        <v>339</v>
      </c>
    </row>
    <row r="21" spans="1:7" x14ac:dyDescent="0.25">
      <c r="B21" s="19" t="s">
        <v>68</v>
      </c>
      <c r="C21" s="20">
        <f>ROUND(F17/100*120,0)</f>
        <v>511</v>
      </c>
      <c r="D21" s="19" t="s">
        <v>65</v>
      </c>
      <c r="E21">
        <f>ROUND(20+(D16-293)*1043*(C21/F17)^6.95*EXP(-6.95*(C21/F17)),0)</f>
        <v>628</v>
      </c>
    </row>
    <row r="22" spans="1:7" x14ac:dyDescent="0.25">
      <c r="B22" s="19" t="s">
        <v>70</v>
      </c>
      <c r="C22" s="20">
        <f>ROUND(F17/100*140,0)</f>
        <v>596</v>
      </c>
      <c r="D22" s="19" t="s">
        <v>71</v>
      </c>
      <c r="E22">
        <f>ROUND(20+(D16-293)*1043*(C22/F17)^6.95*EXP(-6.95*(C22/F17)),0)</f>
        <v>463</v>
      </c>
    </row>
    <row r="23" spans="1:7" x14ac:dyDescent="0.25">
      <c r="B23" s="19" t="s">
        <v>70</v>
      </c>
      <c r="C23" s="20">
        <f>ROUND(F17/100*180,0)</f>
        <v>767</v>
      </c>
      <c r="D23" s="19" t="s">
        <v>71</v>
      </c>
      <c r="E23">
        <f>ROUND(20+(D16-293)*1043*(C23/F17)^6.95*EXP(-6.95*(C23/F17)),0)</f>
        <v>177</v>
      </c>
    </row>
    <row r="24" spans="1:7" x14ac:dyDescent="0.25">
      <c r="B24" s="19" t="s">
        <v>70</v>
      </c>
      <c r="C24" s="20">
        <f>ROUND(F17/100*200,0)</f>
        <v>852</v>
      </c>
      <c r="D24" s="19" t="s">
        <v>71</v>
      </c>
      <c r="E24">
        <f>ROUND(20+(D16-293)*1043*(C24/F17)^6.95*EXP(-6.95*(C24/F17)),0)</f>
        <v>101</v>
      </c>
    </row>
    <row r="26" spans="1:7" ht="21" x14ac:dyDescent="0.35">
      <c r="A26" s="12" t="s">
        <v>76</v>
      </c>
      <c r="B26" s="19" t="s">
        <v>77</v>
      </c>
      <c r="C26" t="s">
        <v>59</v>
      </c>
      <c r="D26">
        <f>ROUND(IF(D2&lt;0.8,250+1750*D2-1250*D2^2,850),0)</f>
        <v>850</v>
      </c>
      <c r="E26" t="s">
        <v>81</v>
      </c>
    </row>
    <row r="27" spans="1:7" x14ac:dyDescent="0.25">
      <c r="B27" s="19" t="s">
        <v>78</v>
      </c>
      <c r="C27" t="s">
        <v>79</v>
      </c>
      <c r="D27">
        <f>1.1*D2</f>
        <v>7.8100000000000005</v>
      </c>
      <c r="E27" t="s">
        <v>54</v>
      </c>
      <c r="F27">
        <f xml:space="preserve"> ROUND(D27*60,0)</f>
        <v>469</v>
      </c>
      <c r="G27" t="s">
        <v>57</v>
      </c>
    </row>
    <row r="28" spans="1:7" x14ac:dyDescent="0.25">
      <c r="B28" s="19" t="s">
        <v>80</v>
      </c>
    </row>
    <row r="29" spans="1:7" x14ac:dyDescent="0.25">
      <c r="B29" s="19" t="s">
        <v>66</v>
      </c>
      <c r="C29" s="21">
        <f t="shared" ref="C29:C34" si="0">C19</f>
        <v>128</v>
      </c>
      <c r="D29" s="19" t="s">
        <v>69</v>
      </c>
      <c r="E29">
        <f>ROUND(20+(D26-293)*233*(C29/F27)^5.45*EXP(-5.45*(C29/F27)),0)</f>
        <v>45</v>
      </c>
    </row>
    <row r="30" spans="1:7" x14ac:dyDescent="0.25">
      <c r="B30" s="19" t="s">
        <v>67</v>
      </c>
      <c r="C30" s="20">
        <f t="shared" si="0"/>
        <v>256</v>
      </c>
      <c r="D30" s="19" t="s">
        <v>64</v>
      </c>
      <c r="E30">
        <f>ROUND(20+(D26-293)*233*(C30/F27)^5.45*EXP(-5.45*(C30/F27)),0)</f>
        <v>264</v>
      </c>
    </row>
    <row r="31" spans="1:7" x14ac:dyDescent="0.25">
      <c r="B31" s="19" t="s">
        <v>68</v>
      </c>
      <c r="C31" s="20">
        <f t="shared" si="0"/>
        <v>511</v>
      </c>
      <c r="D31" s="19" t="s">
        <v>65</v>
      </c>
      <c r="E31">
        <f>ROUND(20+(D26-293)*233*(C31/F27)^5.45*EXP(-5.45*(C31/F27)),0)</f>
        <v>566</v>
      </c>
    </row>
    <row r="32" spans="1:7" x14ac:dyDescent="0.25">
      <c r="B32" s="19" t="s">
        <v>70</v>
      </c>
      <c r="C32" s="20">
        <f t="shared" si="0"/>
        <v>596</v>
      </c>
      <c r="D32" s="19" t="s">
        <v>71</v>
      </c>
      <c r="E32">
        <f>ROUND(20+(D26-293)*233*(C32/F27)^5.45*EXP(-5.45*(C32/F27)),0)</f>
        <v>491</v>
      </c>
    </row>
    <row r="33" spans="2:9" x14ac:dyDescent="0.25">
      <c r="B33" s="19" t="s">
        <v>70</v>
      </c>
      <c r="C33">
        <f t="shared" si="0"/>
        <v>767</v>
      </c>
      <c r="D33" s="19" t="s">
        <v>71</v>
      </c>
      <c r="E33">
        <f>ROUND(20+(D26-293)*233*(C33/F27)^5.45*EXP(-5.45*(C33/F27)),0)</f>
        <v>275</v>
      </c>
    </row>
    <row r="34" spans="2:9" x14ac:dyDescent="0.25">
      <c r="B34" s="19" t="s">
        <v>70</v>
      </c>
      <c r="C34">
        <f t="shared" si="0"/>
        <v>852</v>
      </c>
      <c r="D34" s="19" t="s">
        <v>71</v>
      </c>
      <c r="E34">
        <f>ROUND(20+(D26-293)*233*(C34/F27)^5.45*EXP(-5.45*(C34/F27)),0)</f>
        <v>188</v>
      </c>
    </row>
    <row r="38" spans="2:9" x14ac:dyDescent="0.25">
      <c r="B38">
        <f>K13</f>
        <v>0</v>
      </c>
      <c r="C38">
        <f>C29</f>
        <v>128</v>
      </c>
      <c r="D38">
        <f>C30</f>
        <v>256</v>
      </c>
      <c r="E38">
        <f>F27</f>
        <v>469</v>
      </c>
      <c r="F38">
        <f>C31</f>
        <v>511</v>
      </c>
      <c r="G38">
        <f>C32</f>
        <v>596</v>
      </c>
      <c r="H38">
        <f>C33</f>
        <v>767</v>
      </c>
      <c r="I38">
        <f>C34</f>
        <v>852</v>
      </c>
    </row>
    <row r="39" spans="2:9" x14ac:dyDescent="0.25">
      <c r="B39">
        <v>20</v>
      </c>
      <c r="C39">
        <f>E29</f>
        <v>45</v>
      </c>
      <c r="D39">
        <f>E30</f>
        <v>264</v>
      </c>
      <c r="E39">
        <f>D26</f>
        <v>850</v>
      </c>
      <c r="F39">
        <f>E31</f>
        <v>566</v>
      </c>
      <c r="G39">
        <f>E32</f>
        <v>491</v>
      </c>
      <c r="H39">
        <f>E33</f>
        <v>275</v>
      </c>
      <c r="I39">
        <f>E34</f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РЕЖИМ</vt:lpstr>
      <vt:lpstr>ПРВ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2023-12-16T12:39:04Z</dcterms:modified>
</cp:coreProperties>
</file>